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FgtCJbgf1gyZEOlJKIdvnrtkze8ukrtkT+nU3XJ3KWs="/>
    </ext>
  </extLst>
</workbook>
</file>

<file path=xl/sharedStrings.xml><?xml version="1.0" encoding="utf-8"?>
<sst xmlns="http://schemas.openxmlformats.org/spreadsheetml/2006/main" count="39" uniqueCount="19">
  <si>
    <t>containing language or references that espouse hatred towards specific individuals, races, or religions</t>
  </si>
  <si>
    <t>Nanatusuki, Takafumi</t>
  </si>
  <si>
    <t>Calendar Girls, Sex Goddesses &amp;amp; Pin Up Queens Of the 40&amp;#39;s 50&amp;#39;s and 60&amp;#39;s</t>
  </si>
  <si>
    <t>We Told You So, Comics As Art</t>
  </si>
  <si>
    <t>Dr. Yang, Jwing-Ming</t>
  </si>
  <si>
    <t>Gloria Brame, William Brame</t>
  </si>
  <si>
    <t>Crime of Passion, when Love Begins to Hurt, Run</t>
  </si>
  <si>
    <t>Hell&amp;#39;s Angel, The Life &amp;amp; Times of Sonny Barger &amp;amp; Hell&amp;#39;s Angel&amp;#39;s</t>
  </si>
  <si>
    <t>Do It Yourself, 12 Volt Solar Power</t>
  </si>
  <si>
    <t>Before Fifty Shades, There Was Lace</t>
  </si>
  <si>
    <t>If You Liked Fifty Shades of Grey, You&amp;#39;ll Love the Sleeping Beauty Trilogy</t>
  </si>
  <si>
    <t>David Lapham, Kyle Baker, Shawn Crystal</t>
  </si>
  <si>
    <t>A Ruined Wife, Andrea&amp;#39;s Story</t>
  </si>
  <si>
    <t>Shooter&amp;#39;s Bible: Guide to Firearms Assembly, Disassembly, and Clearing</t>
  </si>
  <si>
    <t>The Tattoo Project: Body, Art, Image</t>
  </si>
  <si>
    <t xml:space="preserve">Bizzare Thailand: Tales of Crime, Sex and Black Magic </t>
  </si>
  <si>
    <t>Moors, Moabite and Man</t>
  </si>
  <si>
    <t xml:space="preserve">How to communicate with Spirits Seances, Ouija Boards and summoning </t>
  </si>
  <si>
    <t xml:space="preserve">A, Roy Mullligan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</si>
</sst>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theme="1"/>
      <name val="Calibri"/>
      <scheme val="minor"/>
    </font>
    <font>
      <color theme="1"/>
      <name val="Calibri"/>
      <scheme val="minor"/>
    </font>
    <font>
      <u/>
      <color rgb="FF0000FF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71"/>
    <col customWidth="1" min="4" max="4" width="22.86"/>
    <col customWidth="1" min="5" max="26" width="8.71"/>
  </cols>
  <sheetData>
    <row r="1" ht="14.25" customHeight="1">
      <c r="A1" s="1" t="str">
        <f>"Vintage Tattoo Flash"</f>
        <v>Vintage Tattoo Flash</v>
      </c>
      <c r="B1" s="1" t="str">
        <f t="shared" ref="B1:B9" si="1">"0"</f>
        <v>0</v>
      </c>
      <c r="C1" s="1" t="str">
        <f t="shared" ref="C1:C9" si="2">"n/a"</f>
        <v>n/a</v>
      </c>
      <c r="D1" s="1" t="str">
        <f>"Jonathan Shaw"</f>
        <v>Jonathan Shaw</v>
      </c>
      <c r="E1" s="1" t="str">
        <f t="shared" ref="E1:E12" si="3">"31"</f>
        <v>31</v>
      </c>
      <c r="F1" s="1" t="str">
        <f t="shared" ref="F1:F12" si="4">"Book"</f>
        <v>Book</v>
      </c>
      <c r="G1" s="1" t="str">
        <f>"41096"</f>
        <v>41096</v>
      </c>
      <c r="H1" s="1" t="str">
        <f t="shared" ref="H1:H14" si="5">"2020-01-07"</f>
        <v>2020-01-07</v>
      </c>
      <c r="I1" s="1" t="str">
        <f t="shared" ref="I1:I520" si="6">"2"</f>
        <v>2</v>
      </c>
      <c r="J1" s="1" t="str">
        <f t="shared" ref="J1:J520" si="7">"Rejected All"</f>
        <v>Rejected All</v>
      </c>
      <c r="L1" s="1" t="str">
        <f>"41438"</f>
        <v>41438</v>
      </c>
      <c r="M1" s="1" t="str">
        <f>"42"</f>
        <v>42</v>
      </c>
      <c r="N1" s="1" t="str">
        <f>"containing pictorially explicit nudity"</f>
        <v>containing pictorially explicit nudity</v>
      </c>
    </row>
    <row r="2" ht="14.25" customHeight="1">
      <c r="A2" s="1" t="str">
        <f>"Leavenworth Seven: The Deadly 1931 Prison Break"</f>
        <v>Leavenworth Seven: The Deadly 1931 Prison Break</v>
      </c>
      <c r="B2" s="1" t="str">
        <f t="shared" si="1"/>
        <v>0</v>
      </c>
      <c r="C2" s="1" t="str">
        <f t="shared" si="2"/>
        <v>n/a</v>
      </c>
      <c r="D2" s="1" t="str">
        <f>"Kenneth M. Lamaster"</f>
        <v>Kenneth M. Lamaster</v>
      </c>
      <c r="E2" s="1" t="str">
        <f t="shared" si="3"/>
        <v>31</v>
      </c>
      <c r="F2" s="1" t="str">
        <f t="shared" si="4"/>
        <v>Book</v>
      </c>
      <c r="G2" s="1" t="str">
        <f>"41097"</f>
        <v>41097</v>
      </c>
      <c r="H2" s="1" t="str">
        <f t="shared" si="5"/>
        <v>2020-01-07</v>
      </c>
      <c r="I2" s="1" t="str">
        <f t="shared" si="6"/>
        <v>2</v>
      </c>
      <c r="J2" s="1" t="str">
        <f t="shared" si="7"/>
        <v>Rejected All</v>
      </c>
      <c r="L2" s="1" t="str">
        <f>"41439"</f>
        <v>41439</v>
      </c>
      <c r="M2" s="1" t="str">
        <f>"6"</f>
        <v>6</v>
      </c>
      <c r="N2" s="1" t="str">
        <f>"describing or encouraging escape methods"</f>
        <v>describing or encouraging escape methods</v>
      </c>
    </row>
    <row r="3" ht="14.25" customHeight="1">
      <c r="A3" s="1" t="str">
        <f>"Blueprint Reading for Electricians"</f>
        <v>Blueprint Reading for Electricians</v>
      </c>
      <c r="B3" s="1" t="str">
        <f t="shared" si="1"/>
        <v>0</v>
      </c>
      <c r="C3" s="1" t="str">
        <f t="shared" si="2"/>
        <v>n/a</v>
      </c>
      <c r="D3" s="1" t="str">
        <f>"Thomson"</f>
        <v>Thomson</v>
      </c>
      <c r="E3" s="1" t="str">
        <f t="shared" si="3"/>
        <v>31</v>
      </c>
      <c r="F3" s="1" t="str">
        <f t="shared" si="4"/>
        <v>Book</v>
      </c>
      <c r="G3" s="1" t="str">
        <f>"41100"</f>
        <v>41100</v>
      </c>
      <c r="H3" s="1" t="str">
        <f t="shared" si="5"/>
        <v>2020-01-07</v>
      </c>
      <c r="I3" s="1" t="str">
        <f t="shared" si="6"/>
        <v>2</v>
      </c>
      <c r="J3" s="1" t="str">
        <f t="shared" si="7"/>
        <v>Rejected All</v>
      </c>
      <c r="L3" s="1" t="str">
        <f>"41443"</f>
        <v>41443</v>
      </c>
      <c r="M3" s="1" t="str">
        <f>"37"</f>
        <v>37</v>
      </c>
      <c r="N3" s="1" t="str">
        <f>"not being included in the original store packaging"</f>
        <v>not being included in the original store packaging</v>
      </c>
    </row>
    <row r="4" ht="14.25" customHeight="1">
      <c r="A4" s="1" t="str">
        <f>"Wrath"</f>
        <v>Wrath</v>
      </c>
      <c r="B4" s="1" t="str">
        <f t="shared" si="1"/>
        <v>0</v>
      </c>
      <c r="C4" s="1" t="str">
        <f t="shared" si="2"/>
        <v>n/a</v>
      </c>
      <c r="D4" s="1" t="str">
        <f>"K&amp;#39;wan"</f>
        <v>K&amp;#39;wan</v>
      </c>
      <c r="E4" s="1" t="str">
        <f t="shared" si="3"/>
        <v>31</v>
      </c>
      <c r="F4" s="1" t="str">
        <f t="shared" si="4"/>
        <v>Book</v>
      </c>
      <c r="G4" s="1" t="str">
        <f>"41101"</f>
        <v>41101</v>
      </c>
      <c r="H4" s="1" t="str">
        <f t="shared" si="5"/>
        <v>2020-01-07</v>
      </c>
      <c r="I4" s="1" t="str">
        <f t="shared" si="6"/>
        <v>2</v>
      </c>
      <c r="J4" s="1" t="str">
        <f t="shared" si="7"/>
        <v>Rejected All</v>
      </c>
      <c r="L4" s="1" t="str">
        <f>"41444"</f>
        <v>41444</v>
      </c>
      <c r="M4" s="1" t="str">
        <f>"9"</f>
        <v>9</v>
      </c>
      <c r="N4" s="1" t="str">
        <f>"describing or encouraging physical violence or group disruption"</f>
        <v>describing or encouraging physical violence or group disruption</v>
      </c>
    </row>
    <row r="5" ht="14.25" customHeight="1">
      <c r="A5" s="1" t="str">
        <f>"The Book of Truth"</f>
        <v>The Book of Truth</v>
      </c>
      <c r="B5" s="1" t="str">
        <f t="shared" si="1"/>
        <v>0</v>
      </c>
      <c r="C5" s="1" t="str">
        <f t="shared" si="2"/>
        <v>n/a</v>
      </c>
      <c r="D5" s="1" t="str">
        <f>"Aleister Crowley"</f>
        <v>Aleister Crowley</v>
      </c>
      <c r="E5" s="1" t="str">
        <f t="shared" si="3"/>
        <v>31</v>
      </c>
      <c r="F5" s="1" t="str">
        <f t="shared" si="4"/>
        <v>Book</v>
      </c>
      <c r="G5" s="1" t="str">
        <f>"41106"</f>
        <v>41106</v>
      </c>
      <c r="H5" s="1" t="str">
        <f t="shared" si="5"/>
        <v>2020-01-07</v>
      </c>
      <c r="I5" s="1" t="str">
        <f t="shared" si="6"/>
        <v>2</v>
      </c>
      <c r="J5" s="1" t="str">
        <f t="shared" si="7"/>
        <v>Rejected All</v>
      </c>
      <c r="L5" s="1" t="str">
        <f>"41449"</f>
        <v>41449</v>
      </c>
      <c r="M5" s="1" t="str">
        <f>"42"</f>
        <v>42</v>
      </c>
      <c r="N5" s="1" t="str">
        <f>"containing pictorially explicit nudity"</f>
        <v>containing pictorially explicit nudity</v>
      </c>
    </row>
    <row r="6" ht="14.25" customHeight="1">
      <c r="A6" s="1" t="str">
        <f>"The Capitalist Roaders"</f>
        <v>The Capitalist Roaders</v>
      </c>
      <c r="B6" s="1" t="str">
        <f t="shared" si="1"/>
        <v>0</v>
      </c>
      <c r="C6" s="1" t="str">
        <f t="shared" si="2"/>
        <v>n/a</v>
      </c>
      <c r="D6" s="1" t="str">
        <f>"China Study Group"</f>
        <v>China Study Group</v>
      </c>
      <c r="E6" s="1" t="str">
        <f t="shared" si="3"/>
        <v>31</v>
      </c>
      <c r="F6" s="1" t="str">
        <f t="shared" si="4"/>
        <v>Book</v>
      </c>
      <c r="G6" s="1" t="str">
        <f>"41130"</f>
        <v>41130</v>
      </c>
      <c r="H6" s="1" t="str">
        <f t="shared" si="5"/>
        <v>2020-01-07</v>
      </c>
      <c r="I6" s="1" t="str">
        <f t="shared" si="6"/>
        <v>2</v>
      </c>
      <c r="J6" s="1" t="str">
        <f t="shared" si="7"/>
        <v>Rejected All</v>
      </c>
      <c r="L6" s="1" t="str">
        <f>"41472"</f>
        <v>41472</v>
      </c>
      <c r="M6" s="1" t="str">
        <f>"48"</f>
        <v>48</v>
      </c>
      <c r="N6" s="1" t="str">
        <f>"containing physical properties which can be manipulated as a security concern"</f>
        <v>containing physical properties which can be manipulated as a security concern</v>
      </c>
    </row>
    <row r="7" ht="14.25" customHeight="1">
      <c r="A7" s="1" t="str">
        <f>"Va-Va Voom"</f>
        <v>Va-Va Voom</v>
      </c>
      <c r="B7" s="1" t="str">
        <f t="shared" si="1"/>
        <v>0</v>
      </c>
      <c r="C7" s="1" t="str">
        <f t="shared" si="2"/>
        <v>n/a</v>
      </c>
      <c r="D7" s="1" t="str">
        <f>"Unknown"</f>
        <v>Unknown</v>
      </c>
      <c r="E7" s="1" t="str">
        <f t="shared" si="3"/>
        <v>31</v>
      </c>
      <c r="F7" s="1" t="str">
        <f t="shared" si="4"/>
        <v>Book</v>
      </c>
      <c r="G7" s="1" t="str">
        <f>"41157"</f>
        <v>41157</v>
      </c>
      <c r="H7" s="1" t="str">
        <f t="shared" si="5"/>
        <v>2020-01-07</v>
      </c>
      <c r="I7" s="1" t="str">
        <f t="shared" si="6"/>
        <v>2</v>
      </c>
      <c r="J7" s="1" t="str">
        <f t="shared" si="7"/>
        <v>Rejected All</v>
      </c>
      <c r="L7" s="1" t="str">
        <f>"41500"</f>
        <v>41500</v>
      </c>
      <c r="M7" s="1" t="str">
        <f>"42"</f>
        <v>42</v>
      </c>
      <c r="N7" s="1" t="str">
        <f>"containing pictorially explicit nudity"</f>
        <v>containing pictorially explicit nudity</v>
      </c>
    </row>
    <row r="8" ht="14.25" customHeight="1">
      <c r="A8" s="1" t="str">
        <f>"Steady Mobbin&amp;#39; 2"</f>
        <v>Steady Mobbin&amp;#39; 2</v>
      </c>
      <c r="B8" s="1" t="str">
        <f t="shared" si="1"/>
        <v>0</v>
      </c>
      <c r="C8" s="1" t="str">
        <f t="shared" si="2"/>
        <v>n/a</v>
      </c>
      <c r="D8" s="1" t="str">
        <f>"Marcellus Allen"</f>
        <v>Marcellus Allen</v>
      </c>
      <c r="E8" s="1" t="str">
        <f t="shared" si="3"/>
        <v>31</v>
      </c>
      <c r="F8" s="1" t="str">
        <f t="shared" si="4"/>
        <v>Book</v>
      </c>
      <c r="G8" s="1" t="str">
        <f>"41171"</f>
        <v>41171</v>
      </c>
      <c r="H8" s="1" t="str">
        <f t="shared" si="5"/>
        <v>2020-01-07</v>
      </c>
      <c r="I8" s="1" t="str">
        <f t="shared" si="6"/>
        <v>2</v>
      </c>
      <c r="J8" s="1" t="str">
        <f t="shared" si="7"/>
        <v>Rejected All</v>
      </c>
      <c r="L8" s="1" t="str">
        <f>"41515"</f>
        <v>41515</v>
      </c>
      <c r="M8" s="1" t="str">
        <f>"47"</f>
        <v>47</v>
      </c>
      <c r="N8" s="1" t="str">
        <f>"containing descriptions of security risk group material or activity"</f>
        <v>containing descriptions of security risk group material or activity</v>
      </c>
    </row>
    <row r="9" ht="14.25" customHeight="1">
      <c r="A9" s="1" t="str">
        <f>"How To Make Love Like A Pornstar"</f>
        <v>How To Make Love Like A Pornstar</v>
      </c>
      <c r="B9" s="1" t="str">
        <f t="shared" si="1"/>
        <v>0</v>
      </c>
      <c r="C9" s="1" t="str">
        <f t="shared" si="2"/>
        <v>n/a</v>
      </c>
      <c r="D9" s="1" t="str">
        <f>"Jenna Jameson"</f>
        <v>Jenna Jameson</v>
      </c>
      <c r="E9" s="1" t="str">
        <f t="shared" si="3"/>
        <v>31</v>
      </c>
      <c r="F9" s="1" t="str">
        <f t="shared" si="4"/>
        <v>Book</v>
      </c>
      <c r="G9" s="1" t="str">
        <f>"41212"</f>
        <v>41212</v>
      </c>
      <c r="H9" s="1" t="str">
        <f t="shared" si="5"/>
        <v>2020-01-07</v>
      </c>
      <c r="I9" s="1" t="str">
        <f t="shared" si="6"/>
        <v>2</v>
      </c>
      <c r="J9" s="1" t="str">
        <f t="shared" si="7"/>
        <v>Rejected All</v>
      </c>
      <c r="L9" s="1" t="str">
        <f>"41557"</f>
        <v>41557</v>
      </c>
      <c r="M9" s="1" t="str">
        <f>"42"</f>
        <v>42</v>
      </c>
      <c r="N9" s="1" t="str">
        <f>"containing pictorially explicit nudity"</f>
        <v>containing pictorially explicit nudity</v>
      </c>
    </row>
    <row r="10" ht="14.25" customHeight="1">
      <c r="A10" s="1" t="str">
        <f>"Rap Music Exposed: Illuminati Secrets Revealed"</f>
        <v>Rap Music Exposed: Illuminati Secrets Revealed</v>
      </c>
      <c r="B10" s="1" t="str">
        <f>"4164"</f>
        <v>4164</v>
      </c>
      <c r="C10" s="1" t="str">
        <f>"Vol. 1"</f>
        <v>Vol. 1</v>
      </c>
      <c r="D10" s="1" t="str">
        <f>"Mack &amp;quot;Cordell&amp;quot; Moore"</f>
        <v>Mack &amp;quot;Cordell&amp;quot; Moore</v>
      </c>
      <c r="E10" s="1" t="str">
        <f t="shared" si="3"/>
        <v>31</v>
      </c>
      <c r="F10" s="1" t="str">
        <f t="shared" si="4"/>
        <v>Book</v>
      </c>
      <c r="G10" s="1" t="str">
        <f>"41123"</f>
        <v>41123</v>
      </c>
      <c r="H10" s="1" t="str">
        <f t="shared" si="5"/>
        <v>2020-01-07</v>
      </c>
      <c r="I10" s="1" t="str">
        <f t="shared" si="6"/>
        <v>2</v>
      </c>
      <c r="J10" s="1" t="str">
        <f t="shared" si="7"/>
        <v>Rejected All</v>
      </c>
      <c r="L10" s="1" t="str">
        <f>"41465"</f>
        <v>41465</v>
      </c>
      <c r="M10" s="1" t="str">
        <f>"47"</f>
        <v>47</v>
      </c>
      <c r="N10" s="1" t="str">
        <f>"containing descriptions of security risk group material or activity"</f>
        <v>containing descriptions of security risk group material or activity</v>
      </c>
    </row>
    <row r="11" ht="14.25" customHeight="1">
      <c r="A11" s="1" t="str">
        <f>"A Comic Anthology"</f>
        <v>A Comic Anthology</v>
      </c>
      <c r="B11" s="1" t="str">
        <f>"4241"</f>
        <v>4241</v>
      </c>
      <c r="C11" s="1" t="str">
        <f>"Vol. 2"</f>
        <v>Vol. 2</v>
      </c>
      <c r="D11" s="1" t="str">
        <f>"ABO Comix"</f>
        <v>ABO Comix</v>
      </c>
      <c r="E11" s="1" t="str">
        <f t="shared" si="3"/>
        <v>31</v>
      </c>
      <c r="F11" s="1" t="str">
        <f t="shared" si="4"/>
        <v>Book</v>
      </c>
      <c r="G11" s="1" t="str">
        <f>"41129"</f>
        <v>41129</v>
      </c>
      <c r="H11" s="1" t="str">
        <f t="shared" si="5"/>
        <v>2020-01-07</v>
      </c>
      <c r="I11" s="1" t="str">
        <f t="shared" si="6"/>
        <v>2</v>
      </c>
      <c r="J11" s="1" t="str">
        <f t="shared" si="7"/>
        <v>Rejected All</v>
      </c>
      <c r="L11" s="1" t="str">
        <f>"41471"</f>
        <v>41471</v>
      </c>
      <c r="M11" s="1" t="str">
        <f t="shared" ref="M11:M12" si="8">"42"</f>
        <v>42</v>
      </c>
      <c r="N11" s="1" t="str">
        <f t="shared" ref="N11:N12" si="9">"containing pictorially explicit nudity"</f>
        <v>containing pictorially explicit nudity</v>
      </c>
    </row>
    <row r="12" ht="14.25" customHeight="1">
      <c r="A12" s="1" t="str">
        <f>"Drakaina Masters"</f>
        <v>Drakaina Masters</v>
      </c>
      <c r="B12" s="1" t="str">
        <f>"8456"</f>
        <v>8456</v>
      </c>
      <c r="C12" s="1" t="str">
        <f>"Vol. One"</f>
        <v>Vol. One</v>
      </c>
      <c r="D12" s="1" t="str">
        <f>"An SQP Presentation"</f>
        <v>An SQP Presentation</v>
      </c>
      <c r="E12" s="1" t="str">
        <f t="shared" si="3"/>
        <v>31</v>
      </c>
      <c r="F12" s="1" t="str">
        <f t="shared" si="4"/>
        <v>Book</v>
      </c>
      <c r="G12" s="1" t="str">
        <f>"41240"</f>
        <v>41240</v>
      </c>
      <c r="H12" s="1" t="str">
        <f t="shared" si="5"/>
        <v>2020-01-07</v>
      </c>
      <c r="I12" s="1" t="str">
        <f t="shared" si="6"/>
        <v>2</v>
      </c>
      <c r="J12" s="1" t="str">
        <f t="shared" si="7"/>
        <v>Rejected All</v>
      </c>
      <c r="L12" s="1" t="str">
        <f>"41585"</f>
        <v>41585</v>
      </c>
      <c r="M12" s="1" t="str">
        <f t="shared" si="8"/>
        <v>42</v>
      </c>
      <c r="N12" s="1" t="str">
        <f t="shared" si="9"/>
        <v>containing pictorially explicit nudity</v>
      </c>
    </row>
    <row r="13" ht="14.25" customHeight="1">
      <c r="A13" s="1" t="str">
        <f>"Survivor&amp;#39;s Edge"</f>
        <v>Survivor&amp;#39;s Edge</v>
      </c>
      <c r="B13" s="1" t="str">
        <f>"8408"</f>
        <v>8408</v>
      </c>
      <c r="C13" s="1" t="str">
        <f>"Jan/Feb 2020"</f>
        <v>Jan/Feb 2020</v>
      </c>
      <c r="E13" s="1" t="str">
        <f t="shared" ref="E13:E14" si="10">"32"</f>
        <v>32</v>
      </c>
      <c r="F13" s="1" t="str">
        <f t="shared" ref="F13:F14" si="11">"Magazine/Newspaper"</f>
        <v>Magazine/Newspaper</v>
      </c>
      <c r="G13" s="1" t="str">
        <f>"41148"</f>
        <v>41148</v>
      </c>
      <c r="H13" s="1" t="str">
        <f t="shared" si="5"/>
        <v>2020-01-07</v>
      </c>
      <c r="I13" s="1" t="str">
        <f t="shared" si="6"/>
        <v>2</v>
      </c>
      <c r="J13" s="1" t="str">
        <f t="shared" si="7"/>
        <v>Rejected All</v>
      </c>
      <c r="L13" s="1" t="str">
        <f>"41490"</f>
        <v>41490</v>
      </c>
      <c r="M13" s="1" t="str">
        <f>"5"</f>
        <v>5</v>
      </c>
      <c r="N13" s="1" t="str">
        <f>"containing weapon construction procedures"</f>
        <v>containing weapon construction procedures</v>
      </c>
    </row>
    <row r="14" ht="14.25" customHeight="1">
      <c r="A14" s="1" t="str">
        <f>"Kill Shot King"</f>
        <v>Kill Shot King</v>
      </c>
      <c r="B14" s="1" t="str">
        <f>"8434"</f>
        <v>8434</v>
      </c>
      <c r="C14" s="1" t="str">
        <f>"PS #1 Newsletter"</f>
        <v>PS #1 Newsletter</v>
      </c>
      <c r="E14" s="1" t="str">
        <f t="shared" si="10"/>
        <v>32</v>
      </c>
      <c r="F14" s="1" t="str">
        <f t="shared" si="11"/>
        <v>Magazine/Newspaper</v>
      </c>
      <c r="G14" s="1" t="str">
        <f>"41209"</f>
        <v>41209</v>
      </c>
      <c r="H14" s="1" t="str">
        <f t="shared" si="5"/>
        <v>2020-01-07</v>
      </c>
      <c r="I14" s="1" t="str">
        <f t="shared" si="6"/>
        <v>2</v>
      </c>
      <c r="J14" s="1" t="str">
        <f t="shared" si="7"/>
        <v>Rejected All</v>
      </c>
      <c r="L14" s="1" t="str">
        <f>"41554"</f>
        <v>41554</v>
      </c>
      <c r="M14" s="1" t="str">
        <f>"49"</f>
        <v>49</v>
      </c>
      <c r="N14" s="1" t="s">
        <v>0</v>
      </c>
    </row>
    <row r="15" ht="14.25" customHeight="1">
      <c r="A15" s="1" t="str">
        <f>"MmMaMa"</f>
        <v>MmMaMa</v>
      </c>
      <c r="B15" s="1" t="str">
        <f t="shared" ref="B15:B16" si="12">"0"</f>
        <v>0</v>
      </c>
      <c r="C15" s="1" t="str">
        <f t="shared" ref="C15:C16" si="13">"n/a"</f>
        <v>n/a</v>
      </c>
      <c r="D15" s="1" t="str">
        <f>"Okayado"</f>
        <v>Okayado</v>
      </c>
      <c r="E15" s="1" t="str">
        <f t="shared" ref="E15:E26" si="14">"31"</f>
        <v>31</v>
      </c>
      <c r="F15" s="1" t="str">
        <f t="shared" ref="F15:F26" si="15">"Book"</f>
        <v>Book</v>
      </c>
      <c r="G15" s="1" t="str">
        <f>"41252"</f>
        <v>41252</v>
      </c>
      <c r="H15" s="1" t="str">
        <f t="shared" ref="H15:H17" si="16">"2020-01-21"</f>
        <v>2020-01-21</v>
      </c>
      <c r="I15" s="1" t="str">
        <f t="shared" si="6"/>
        <v>2</v>
      </c>
      <c r="J15" s="1" t="str">
        <f t="shared" si="7"/>
        <v>Rejected All</v>
      </c>
      <c r="L15" s="1" t="str">
        <f>"41597"</f>
        <v>41597</v>
      </c>
      <c r="M15" s="1" t="str">
        <f>"41"</f>
        <v>41</v>
      </c>
      <c r="N15" s="1" t="str">
        <f>"containing pictorially explicit sexual activity"</f>
        <v>containing pictorially explicit sexual activity</v>
      </c>
    </row>
    <row r="16" ht="14.25" customHeight="1">
      <c r="A16" s="1" t="str">
        <f>"From Vines to Wines: The Complete Guide to Growing Grapes and Making your Own Wine"</f>
        <v>From Vines to Wines: The Complete Guide to Growing Grapes and Making your Own Wine</v>
      </c>
      <c r="B16" s="1" t="str">
        <f t="shared" si="12"/>
        <v>0</v>
      </c>
      <c r="C16" s="1" t="str">
        <f t="shared" si="13"/>
        <v>n/a</v>
      </c>
      <c r="D16" s="1" t="str">
        <f>"Jeff Cox"</f>
        <v>Jeff Cox</v>
      </c>
      <c r="E16" s="1" t="str">
        <f t="shared" si="14"/>
        <v>31</v>
      </c>
      <c r="F16" s="1" t="str">
        <f t="shared" si="15"/>
        <v>Book</v>
      </c>
      <c r="G16" s="1" t="str">
        <f>"41264"</f>
        <v>41264</v>
      </c>
      <c r="H16" s="1" t="str">
        <f t="shared" si="16"/>
        <v>2020-01-21</v>
      </c>
      <c r="I16" s="1" t="str">
        <f t="shared" si="6"/>
        <v>2</v>
      </c>
      <c r="J16" s="1" t="str">
        <f t="shared" si="7"/>
        <v>Rejected All</v>
      </c>
      <c r="L16" s="1" t="str">
        <f>"41609"</f>
        <v>41609</v>
      </c>
      <c r="M16" s="1" t="str">
        <f>"7"</f>
        <v>7</v>
      </c>
      <c r="N16" s="1" t="str">
        <f>"describing procedures to brew alcohol or manufacture drugs"</f>
        <v>describing procedures to brew alcohol or manufacture drugs</v>
      </c>
    </row>
    <row r="17" ht="14.25" customHeight="1">
      <c r="A17" s="1" t="str">
        <f>"Shomin Sample"</f>
        <v>Shomin Sample</v>
      </c>
      <c r="B17" s="1" t="str">
        <f>"7392"</f>
        <v>7392</v>
      </c>
      <c r="C17" s="1" t="str">
        <f>"Vol. 7"</f>
        <v>Vol. 7</v>
      </c>
      <c r="D17" s="1" t="s">
        <v>1</v>
      </c>
      <c r="E17" s="1" t="str">
        <f t="shared" si="14"/>
        <v>31</v>
      </c>
      <c r="F17" s="1" t="str">
        <f t="shared" si="15"/>
        <v>Book</v>
      </c>
      <c r="G17" s="1" t="str">
        <f>"41272"</f>
        <v>41272</v>
      </c>
      <c r="H17" s="1" t="str">
        <f t="shared" si="16"/>
        <v>2020-01-21</v>
      </c>
      <c r="I17" s="1" t="str">
        <f t="shared" si="6"/>
        <v>2</v>
      </c>
      <c r="J17" s="1" t="str">
        <f t="shared" si="7"/>
        <v>Rejected All</v>
      </c>
      <c r="L17" s="1" t="str">
        <f>"41616"</f>
        <v>41616</v>
      </c>
      <c r="M17" s="1" t="str">
        <f>"45"</f>
        <v>45</v>
      </c>
      <c r="N17" s="1" t="str">
        <f>"containing written sexually explicit material involving minors"</f>
        <v>containing written sexually explicit material involving minors</v>
      </c>
    </row>
    <row r="18" ht="14.25" customHeight="1">
      <c r="A18" s="1" t="str">
        <f>"Erotic Teasers"</f>
        <v>Erotic Teasers</v>
      </c>
      <c r="B18" s="1" t="str">
        <f t="shared" ref="B18:B20" si="17">"0"</f>
        <v>0</v>
      </c>
      <c r="C18" s="1" t="str">
        <f t="shared" ref="C18:C20" si="18">"n/a"</f>
        <v>n/a</v>
      </c>
      <c r="D18" s="1" t="str">
        <f>"Rachel Kramer Bussel"</f>
        <v>Rachel Kramer Bussel</v>
      </c>
      <c r="E18" s="1" t="str">
        <f t="shared" si="14"/>
        <v>31</v>
      </c>
      <c r="F18" s="1" t="str">
        <f t="shared" si="15"/>
        <v>Book</v>
      </c>
      <c r="G18" s="1" t="str">
        <f>"41310"</f>
        <v>41310</v>
      </c>
      <c r="H18" s="1" t="str">
        <f t="shared" ref="H18:H21" si="19">"2020-02-04"</f>
        <v>2020-02-04</v>
      </c>
      <c r="I18" s="1" t="str">
        <f t="shared" si="6"/>
        <v>2</v>
      </c>
      <c r="J18" s="1" t="str">
        <f t="shared" si="7"/>
        <v>Rejected All</v>
      </c>
      <c r="L18" s="1" t="str">
        <f>"41656"</f>
        <v>41656</v>
      </c>
      <c r="M18" s="1" t="str">
        <f>"43"</f>
        <v>43</v>
      </c>
      <c r="N18" s="1" t="str">
        <f>"containing written sexually explicit / sado-masochistic behavior"</f>
        <v>containing written sexually explicit / sado-masochistic behavior</v>
      </c>
    </row>
    <row r="19" ht="14.25" customHeight="1">
      <c r="A19" s="1" t="str">
        <f>"Mein Kampf"</f>
        <v>Mein Kampf</v>
      </c>
      <c r="B19" s="1" t="str">
        <f t="shared" si="17"/>
        <v>0</v>
      </c>
      <c r="C19" s="1" t="str">
        <f t="shared" si="18"/>
        <v>n/a</v>
      </c>
      <c r="D19" s="1" t="str">
        <f>"Adolph Hitler"</f>
        <v>Adolph Hitler</v>
      </c>
      <c r="E19" s="1" t="str">
        <f t="shared" si="14"/>
        <v>31</v>
      </c>
      <c r="F19" s="1" t="str">
        <f t="shared" si="15"/>
        <v>Book</v>
      </c>
      <c r="G19" s="1" t="str">
        <f>"41325"</f>
        <v>41325</v>
      </c>
      <c r="H19" s="1" t="str">
        <f t="shared" si="19"/>
        <v>2020-02-04</v>
      </c>
      <c r="I19" s="1" t="str">
        <f t="shared" si="6"/>
        <v>2</v>
      </c>
      <c r="J19" s="1" t="str">
        <f t="shared" si="7"/>
        <v>Rejected All</v>
      </c>
      <c r="L19" s="1" t="str">
        <f>"41671"</f>
        <v>41671</v>
      </c>
      <c r="M19" s="1" t="str">
        <f>"49"</f>
        <v>49</v>
      </c>
      <c r="N19" s="1" t="s">
        <v>0</v>
      </c>
    </row>
    <row r="20" ht="14.25" customHeight="1">
      <c r="A20" s="1" t="str">
        <f>"The Player"</f>
        <v>The Player</v>
      </c>
      <c r="B20" s="1" t="str">
        <f t="shared" si="17"/>
        <v>0</v>
      </c>
      <c r="C20" s="1" t="str">
        <f t="shared" si="18"/>
        <v>n/a</v>
      </c>
      <c r="D20" s="1" t="str">
        <f>"Kresley Cole"</f>
        <v>Kresley Cole</v>
      </c>
      <c r="E20" s="1" t="str">
        <f t="shared" si="14"/>
        <v>31</v>
      </c>
      <c r="F20" s="1" t="str">
        <f t="shared" si="15"/>
        <v>Book</v>
      </c>
      <c r="G20" s="1" t="str">
        <f>"41329"</f>
        <v>41329</v>
      </c>
      <c r="H20" s="1" t="str">
        <f t="shared" si="19"/>
        <v>2020-02-04</v>
      </c>
      <c r="I20" s="1" t="str">
        <f t="shared" si="6"/>
        <v>2</v>
      </c>
      <c r="J20" s="1" t="str">
        <f t="shared" si="7"/>
        <v>Rejected All</v>
      </c>
      <c r="L20" s="1" t="str">
        <f>"41675"</f>
        <v>41675</v>
      </c>
      <c r="M20" s="1" t="str">
        <f>"43"</f>
        <v>43</v>
      </c>
      <c r="N20" s="1" t="str">
        <f>"containing written sexually explicit / sado-masochistic behavior"</f>
        <v>containing written sexually explicit / sado-masochistic behavior</v>
      </c>
    </row>
    <row r="21" ht="14.25" customHeight="1">
      <c r="A21" s="1" t="str">
        <f>"Fight Club 3"</f>
        <v>Fight Club 3</v>
      </c>
      <c r="B21" s="1" t="str">
        <f>"8413"</f>
        <v>8413</v>
      </c>
      <c r="C21" s="1" t="str">
        <f>"Vol. 11"</f>
        <v>Vol. 11</v>
      </c>
      <c r="D21" s="1" t="str">
        <f>"Chuck Palahniuk"</f>
        <v>Chuck Palahniuk</v>
      </c>
      <c r="E21" s="1" t="str">
        <f t="shared" si="14"/>
        <v>31</v>
      </c>
      <c r="F21" s="1" t="str">
        <f t="shared" si="15"/>
        <v>Book</v>
      </c>
      <c r="G21" s="1" t="str">
        <f>"41312"</f>
        <v>41312</v>
      </c>
      <c r="H21" s="1" t="str">
        <f t="shared" si="19"/>
        <v>2020-02-04</v>
      </c>
      <c r="I21" s="1" t="str">
        <f t="shared" si="6"/>
        <v>2</v>
      </c>
      <c r="J21" s="1" t="str">
        <f t="shared" si="7"/>
        <v>Rejected All</v>
      </c>
      <c r="L21" s="1" t="str">
        <f>"41658"</f>
        <v>41658</v>
      </c>
      <c r="M21" s="1" t="str">
        <f t="shared" ref="M21:M22" si="20">"41"</f>
        <v>41</v>
      </c>
      <c r="N21" s="1" t="str">
        <f t="shared" ref="N21:N22" si="21">"containing pictorially explicit sexual activity"</f>
        <v>containing pictorially explicit sexual activity</v>
      </c>
    </row>
    <row r="22" ht="14.25" customHeight="1">
      <c r="A22" s="1" t="str">
        <f>"Tattoo Road Trip California Cover"</f>
        <v>Tattoo Road Trip California Cover</v>
      </c>
      <c r="B22" s="1" t="str">
        <f t="shared" ref="B22:B26" si="22">"0"</f>
        <v>0</v>
      </c>
      <c r="C22" s="1" t="str">
        <f t="shared" ref="C22:C26" si="23">"n/a"</f>
        <v>n/a</v>
      </c>
      <c r="D22" s="1" t="str">
        <f>"Bob Baxter"</f>
        <v>Bob Baxter</v>
      </c>
      <c r="E22" s="1" t="str">
        <f t="shared" si="14"/>
        <v>31</v>
      </c>
      <c r="F22" s="1" t="str">
        <f t="shared" si="15"/>
        <v>Book</v>
      </c>
      <c r="G22" s="1" t="str">
        <f>"41382"</f>
        <v>41382</v>
      </c>
      <c r="H22" s="1" t="str">
        <f t="shared" ref="H22:H27" si="24">"2020-02-18"</f>
        <v>2020-02-18</v>
      </c>
      <c r="I22" s="1" t="str">
        <f t="shared" si="6"/>
        <v>2</v>
      </c>
      <c r="J22" s="1" t="str">
        <f t="shared" si="7"/>
        <v>Rejected All</v>
      </c>
      <c r="L22" s="1" t="str">
        <f>"41730"</f>
        <v>41730</v>
      </c>
      <c r="M22" s="1" t="str">
        <f t="shared" si="20"/>
        <v>41</v>
      </c>
      <c r="N22" s="1" t="str">
        <f t="shared" si="21"/>
        <v>containing pictorially explicit sexual activity</v>
      </c>
    </row>
    <row r="23" ht="14.25" customHeight="1">
      <c r="A23" s="1" t="str">
        <f>"The Art of Psychological Warfare: How to Skillfully Influence People Undetected and How to Mentally Subdue Your Enermies in Stealth Node"</f>
        <v>The Art of Psychological Warfare: How to Skillfully Influence People Undetected and How to Mentally Subdue Your Enermies in Stealth Node</v>
      </c>
      <c r="B23" s="1" t="str">
        <f t="shared" si="22"/>
        <v>0</v>
      </c>
      <c r="C23" s="1" t="str">
        <f t="shared" si="23"/>
        <v>n/a</v>
      </c>
      <c r="D23" s="1" t="str">
        <f>"Michael T. Stevens"</f>
        <v>Michael T. Stevens</v>
      </c>
      <c r="E23" s="1" t="str">
        <f t="shared" si="14"/>
        <v>31</v>
      </c>
      <c r="F23" s="1" t="str">
        <f t="shared" si="15"/>
        <v>Book</v>
      </c>
      <c r="G23" s="1" t="str">
        <f>"41386"</f>
        <v>41386</v>
      </c>
      <c r="H23" s="1" t="str">
        <f t="shared" si="24"/>
        <v>2020-02-18</v>
      </c>
      <c r="I23" s="1" t="str">
        <f t="shared" si="6"/>
        <v>2</v>
      </c>
      <c r="J23" s="1" t="str">
        <f t="shared" si="7"/>
        <v>Rejected All</v>
      </c>
      <c r="L23" s="1" t="str">
        <f>"41734"</f>
        <v>41734</v>
      </c>
      <c r="M23" s="1" t="str">
        <f>"39"</f>
        <v>39</v>
      </c>
      <c r="N23" s="1" t="str">
        <f>"being detrimental to security for the following reason:"</f>
        <v>being detrimental to security for the following reason:</v>
      </c>
    </row>
    <row r="24" ht="14.25" customHeight="1">
      <c r="A24" s="1" t="str">
        <f>"Thuggz Valentine"</f>
        <v>Thuggz Valentine</v>
      </c>
      <c r="B24" s="1" t="str">
        <f t="shared" si="22"/>
        <v>0</v>
      </c>
      <c r="C24" s="1" t="str">
        <f t="shared" si="23"/>
        <v>n/a</v>
      </c>
      <c r="D24" s="1" t="str">
        <f>"W. Clark"</f>
        <v>W. Clark</v>
      </c>
      <c r="E24" s="1" t="str">
        <f t="shared" si="14"/>
        <v>31</v>
      </c>
      <c r="F24" s="1" t="str">
        <f t="shared" si="15"/>
        <v>Book</v>
      </c>
      <c r="G24" s="1" t="str">
        <f>"34708"</f>
        <v>34708</v>
      </c>
      <c r="H24" s="1" t="str">
        <f t="shared" si="24"/>
        <v>2020-02-18</v>
      </c>
      <c r="I24" s="1" t="str">
        <f t="shared" si="6"/>
        <v>2</v>
      </c>
      <c r="J24" s="1" t="str">
        <f t="shared" si="7"/>
        <v>Rejected All</v>
      </c>
      <c r="L24" s="1" t="str">
        <f>"41735"</f>
        <v>41735</v>
      </c>
      <c r="M24" s="1" t="str">
        <f>"45"</f>
        <v>45</v>
      </c>
      <c r="N24" s="1" t="str">
        <f>"containing written sexually explicit material involving minors"</f>
        <v>containing written sexually explicit material involving minors</v>
      </c>
    </row>
    <row r="25" ht="14.25" customHeight="1">
      <c r="A25" s="1" t="s">
        <v>2</v>
      </c>
      <c r="B25" s="1" t="str">
        <f t="shared" si="22"/>
        <v>0</v>
      </c>
      <c r="C25" s="1" t="str">
        <f t="shared" si="23"/>
        <v>n/a</v>
      </c>
      <c r="D25" s="1" t="str">
        <f>"John Ortner"</f>
        <v>John Ortner</v>
      </c>
      <c r="E25" s="1" t="str">
        <f t="shared" si="14"/>
        <v>31</v>
      </c>
      <c r="F25" s="1" t="str">
        <f t="shared" si="15"/>
        <v>Book</v>
      </c>
      <c r="G25" s="1" t="str">
        <f>"41395"</f>
        <v>41395</v>
      </c>
      <c r="H25" s="1" t="str">
        <f t="shared" si="24"/>
        <v>2020-02-18</v>
      </c>
      <c r="I25" s="1" t="str">
        <f t="shared" si="6"/>
        <v>2</v>
      </c>
      <c r="J25" s="1" t="str">
        <f t="shared" si="7"/>
        <v>Rejected All</v>
      </c>
      <c r="L25" s="1" t="str">
        <f>"41744"</f>
        <v>41744</v>
      </c>
      <c r="M25" s="1" t="str">
        <f>"42"</f>
        <v>42</v>
      </c>
      <c r="N25" s="1" t="str">
        <f>"containing pictorially explicit nudity"</f>
        <v>containing pictorially explicit nudity</v>
      </c>
    </row>
    <row r="26" ht="14.25" customHeight="1">
      <c r="A26" s="1" t="str">
        <f>"Essentials of the Reid Technique; Criminal Interrogation and Confessions"</f>
        <v>Essentials of the Reid Technique; Criminal Interrogation and Confessions</v>
      </c>
      <c r="B26" s="1" t="str">
        <f t="shared" si="22"/>
        <v>0</v>
      </c>
      <c r="C26" s="1" t="str">
        <f t="shared" si="23"/>
        <v>n/a</v>
      </c>
      <c r="D26" s="1" t="str">
        <f>"Fred E. Inbau"</f>
        <v>Fred E. Inbau</v>
      </c>
      <c r="E26" s="1" t="str">
        <f t="shared" si="14"/>
        <v>31</v>
      </c>
      <c r="F26" s="1" t="str">
        <f t="shared" si="15"/>
        <v>Book</v>
      </c>
      <c r="G26" s="1" t="str">
        <f>"41397"</f>
        <v>41397</v>
      </c>
      <c r="H26" s="1" t="str">
        <f t="shared" si="24"/>
        <v>2020-02-18</v>
      </c>
      <c r="I26" s="1" t="str">
        <f t="shared" si="6"/>
        <v>2</v>
      </c>
      <c r="J26" s="1" t="str">
        <f t="shared" si="7"/>
        <v>Rejected All</v>
      </c>
      <c r="L26" s="1" t="str">
        <f>"41746"</f>
        <v>41746</v>
      </c>
      <c r="M26" s="1" t="str">
        <f>"39"</f>
        <v>39</v>
      </c>
      <c r="N26" s="1" t="str">
        <f>"being detrimental to security for the following reason:"</f>
        <v>being detrimental to security for the following reason:</v>
      </c>
    </row>
    <row r="27" ht="14.25" customHeight="1">
      <c r="A27" s="1" t="str">
        <f>"Foxtail"</f>
        <v>Foxtail</v>
      </c>
      <c r="B27" s="1" t="str">
        <f>"305"</f>
        <v>305</v>
      </c>
      <c r="C27" s="1" t="str">
        <f>"#20"</f>
        <v>#20</v>
      </c>
      <c r="E27" s="1" t="str">
        <f>"32"</f>
        <v>32</v>
      </c>
      <c r="F27" s="1" t="str">
        <f>"Magazine/Newspaper"</f>
        <v>Magazine/Newspaper</v>
      </c>
      <c r="G27" s="1" t="str">
        <f>"41393"</f>
        <v>41393</v>
      </c>
      <c r="H27" s="1" t="str">
        <f t="shared" si="24"/>
        <v>2020-02-18</v>
      </c>
      <c r="I27" s="1" t="str">
        <f t="shared" si="6"/>
        <v>2</v>
      </c>
      <c r="J27" s="1" t="str">
        <f t="shared" si="7"/>
        <v>Rejected All</v>
      </c>
      <c r="L27" s="1" t="str">
        <f>"41742"</f>
        <v>41742</v>
      </c>
      <c r="M27" s="1" t="str">
        <f>"42"</f>
        <v>42</v>
      </c>
      <c r="N27" s="1" t="str">
        <f>"containing pictorially explicit nudity"</f>
        <v>containing pictorially explicit nudity</v>
      </c>
    </row>
    <row r="28" ht="14.25" customHeight="1">
      <c r="A28" s="1" t="str">
        <f>"Invisible Master"</f>
        <v>Invisible Master</v>
      </c>
      <c r="B28" s="1" t="str">
        <f t="shared" ref="B28:B32" si="25">"0"</f>
        <v>0</v>
      </c>
      <c r="C28" s="1" t="str">
        <f t="shared" ref="C28:C32" si="26">"n/a"</f>
        <v>n/a</v>
      </c>
      <c r="D28" s="1" t="str">
        <f>"Leo Lyon Zagami"</f>
        <v>Leo Lyon Zagami</v>
      </c>
      <c r="E28" s="1" t="str">
        <f t="shared" ref="E28:E43" si="27">"31"</f>
        <v>31</v>
      </c>
      <c r="F28" s="1" t="str">
        <f t="shared" ref="F28:F43" si="28">"Book"</f>
        <v>Book</v>
      </c>
      <c r="G28" s="1" t="str">
        <f>"41418"</f>
        <v>41418</v>
      </c>
      <c r="H28" s="1" t="str">
        <f t="shared" ref="H28:H32" si="29">"2020-03-03"</f>
        <v>2020-03-03</v>
      </c>
      <c r="I28" s="1" t="str">
        <f t="shared" si="6"/>
        <v>2</v>
      </c>
      <c r="J28" s="1" t="str">
        <f t="shared" si="7"/>
        <v>Rejected All</v>
      </c>
      <c r="L28" s="1" t="str">
        <f>"41768"</f>
        <v>41768</v>
      </c>
      <c r="M28" s="1" t="str">
        <f>"8"</f>
        <v>8</v>
      </c>
      <c r="N28" s="1" t="str">
        <f>"containing writings in code"</f>
        <v>containing writings in code</v>
      </c>
    </row>
    <row r="29" ht="14.25" customHeight="1">
      <c r="A29" s="1" t="str">
        <f>"Revelations"</f>
        <v>Revelations</v>
      </c>
      <c r="B29" s="1" t="str">
        <f t="shared" si="25"/>
        <v>0</v>
      </c>
      <c r="C29" s="1" t="str">
        <f t="shared" si="26"/>
        <v>n/a</v>
      </c>
      <c r="D29" s="1" t="str">
        <f>"Justice Howard"</f>
        <v>Justice Howard</v>
      </c>
      <c r="E29" s="1" t="str">
        <f t="shared" si="27"/>
        <v>31</v>
      </c>
      <c r="F29" s="1" t="str">
        <f t="shared" si="28"/>
        <v>Book</v>
      </c>
      <c r="G29" s="1" t="str">
        <f>"41420"</f>
        <v>41420</v>
      </c>
      <c r="H29" s="1" t="str">
        <f t="shared" si="29"/>
        <v>2020-03-03</v>
      </c>
      <c r="I29" s="1" t="str">
        <f t="shared" si="6"/>
        <v>2</v>
      </c>
      <c r="J29" s="1" t="str">
        <f t="shared" si="7"/>
        <v>Rejected All</v>
      </c>
      <c r="L29" s="1" t="str">
        <f>"41770"</f>
        <v>41770</v>
      </c>
      <c r="M29" s="1" t="str">
        <f t="shared" ref="M29:M31" si="30">"42"</f>
        <v>42</v>
      </c>
      <c r="N29" s="1" t="str">
        <f t="shared" ref="N29:N31" si="31">"containing pictorially explicit nudity"</f>
        <v>containing pictorially explicit nudity</v>
      </c>
    </row>
    <row r="30" ht="14.25" customHeight="1">
      <c r="A30" s="1" t="str">
        <f>"Strega"</f>
        <v>Strega</v>
      </c>
      <c r="B30" s="1" t="str">
        <f t="shared" si="25"/>
        <v>0</v>
      </c>
      <c r="C30" s="1" t="str">
        <f t="shared" si="26"/>
        <v>n/a</v>
      </c>
      <c r="D30" s="1" t="str">
        <f>"Andrew Vachss"</f>
        <v>Andrew Vachss</v>
      </c>
      <c r="E30" s="1" t="str">
        <f t="shared" si="27"/>
        <v>31</v>
      </c>
      <c r="F30" s="1" t="str">
        <f t="shared" si="28"/>
        <v>Book</v>
      </c>
      <c r="G30" s="1" t="str">
        <f>"41422"</f>
        <v>41422</v>
      </c>
      <c r="H30" s="1" t="str">
        <f t="shared" si="29"/>
        <v>2020-03-03</v>
      </c>
      <c r="I30" s="1" t="str">
        <f t="shared" si="6"/>
        <v>2</v>
      </c>
      <c r="J30" s="1" t="str">
        <f t="shared" si="7"/>
        <v>Rejected All</v>
      </c>
      <c r="L30" s="1" t="str">
        <f>"41772"</f>
        <v>41772</v>
      </c>
      <c r="M30" s="1" t="str">
        <f t="shared" si="30"/>
        <v>42</v>
      </c>
      <c r="N30" s="1" t="str">
        <f t="shared" si="31"/>
        <v>containing pictorially explicit nudity</v>
      </c>
    </row>
    <row r="31" ht="14.25" customHeight="1">
      <c r="A31" s="1" t="str">
        <f>"Booty Encyclopedia"</f>
        <v>Booty Encyclopedia</v>
      </c>
      <c r="B31" s="1" t="str">
        <f t="shared" si="25"/>
        <v>0</v>
      </c>
      <c r="C31" s="1" t="str">
        <f t="shared" si="26"/>
        <v>n/a</v>
      </c>
      <c r="D31" s="1" t="str">
        <f>"Unknown"</f>
        <v>Unknown</v>
      </c>
      <c r="E31" s="1" t="str">
        <f t="shared" si="27"/>
        <v>31</v>
      </c>
      <c r="F31" s="1" t="str">
        <f t="shared" si="28"/>
        <v>Book</v>
      </c>
      <c r="G31" s="1" t="str">
        <f>"41441"</f>
        <v>41441</v>
      </c>
      <c r="H31" s="1" t="str">
        <f t="shared" si="29"/>
        <v>2020-03-03</v>
      </c>
      <c r="I31" s="1" t="str">
        <f t="shared" si="6"/>
        <v>2</v>
      </c>
      <c r="J31" s="1" t="str">
        <f t="shared" si="7"/>
        <v>Rejected All</v>
      </c>
      <c r="L31" s="1" t="str">
        <f>"41792"</f>
        <v>41792</v>
      </c>
      <c r="M31" s="1" t="str">
        <f t="shared" si="30"/>
        <v>42</v>
      </c>
      <c r="N31" s="1" t="str">
        <f t="shared" si="31"/>
        <v>containing pictorially explicit nudity</v>
      </c>
    </row>
    <row r="32" ht="14.25" customHeight="1">
      <c r="A32" s="1" t="str">
        <f>"Little Book of Knots"</f>
        <v>Little Book of Knots</v>
      </c>
      <c r="B32" s="1" t="str">
        <f t="shared" si="25"/>
        <v>0</v>
      </c>
      <c r="C32" s="1" t="str">
        <f t="shared" si="26"/>
        <v>n/a</v>
      </c>
      <c r="D32" s="1" t="str">
        <f>"Geoffrey Budworth and Jason Dalton"</f>
        <v>Geoffrey Budworth and Jason Dalton</v>
      </c>
      <c r="E32" s="1" t="str">
        <f t="shared" si="27"/>
        <v>31</v>
      </c>
      <c r="F32" s="1" t="str">
        <f t="shared" si="28"/>
        <v>Book</v>
      </c>
      <c r="G32" s="1" t="str">
        <f>"41447"</f>
        <v>41447</v>
      </c>
      <c r="H32" s="1" t="str">
        <f t="shared" si="29"/>
        <v>2020-03-03</v>
      </c>
      <c r="I32" s="1" t="str">
        <f t="shared" si="6"/>
        <v>2</v>
      </c>
      <c r="J32" s="1" t="str">
        <f t="shared" si="7"/>
        <v>Rejected All</v>
      </c>
      <c r="L32" s="1" t="str">
        <f>"41798"</f>
        <v>41798</v>
      </c>
      <c r="M32" s="1" t="str">
        <f>"39"</f>
        <v>39</v>
      </c>
      <c r="N32" s="1" t="str">
        <f>"being detrimental to security for the following reason:"</f>
        <v>being detrimental to security for the following reason:</v>
      </c>
    </row>
    <row r="33" ht="14.25" customHeight="1">
      <c r="A33" s="1" t="str">
        <f>"Mayo Chicki Omnibus Collection"</f>
        <v>Mayo Chicki Omnibus Collection</v>
      </c>
      <c r="B33" s="1" t="str">
        <f>"8497"</f>
        <v>8497</v>
      </c>
      <c r="C33" s="1" t="str">
        <f>"Vol. 4-5"</f>
        <v>Vol. 4-5</v>
      </c>
      <c r="D33" s="1" t="str">
        <f>"Hajime Asano"</f>
        <v>Hajime Asano</v>
      </c>
      <c r="E33" s="1" t="str">
        <f t="shared" si="27"/>
        <v>31</v>
      </c>
      <c r="F33" s="1" t="str">
        <f t="shared" si="28"/>
        <v>Book</v>
      </c>
      <c r="G33" s="1" t="str">
        <f>"41449"</f>
        <v>41449</v>
      </c>
      <c r="H33" s="1" t="str">
        <f>"2020-03-17"</f>
        <v>2020-03-17</v>
      </c>
      <c r="I33" s="1" t="str">
        <f t="shared" si="6"/>
        <v>2</v>
      </c>
      <c r="J33" s="1" t="str">
        <f t="shared" si="7"/>
        <v>Rejected All</v>
      </c>
      <c r="L33" s="1" t="str">
        <f>"41801"</f>
        <v>41801</v>
      </c>
      <c r="M33" s="1" t="str">
        <f>"41"</f>
        <v>41</v>
      </c>
      <c r="N33" s="1" t="str">
        <f>"containing pictorially explicit sexual activity"</f>
        <v>containing pictorially explicit sexual activity</v>
      </c>
    </row>
    <row r="34" ht="14.25" customHeight="1">
      <c r="A34" s="1" t="str">
        <f>"Forbidden Art: The World of Erotica"</f>
        <v>Forbidden Art: The World of Erotica</v>
      </c>
      <c r="B34" s="1" t="str">
        <f t="shared" ref="B34:B39" si="32">"0"</f>
        <v>0</v>
      </c>
      <c r="C34" s="1" t="str">
        <f t="shared" ref="C34:C39" si="33">"n/a"</f>
        <v>n/a</v>
      </c>
      <c r="D34" s="1" t="str">
        <f>"Miss Naomi"</f>
        <v>Miss Naomi</v>
      </c>
      <c r="E34" s="1" t="str">
        <f t="shared" si="27"/>
        <v>31</v>
      </c>
      <c r="F34" s="1" t="str">
        <f t="shared" si="28"/>
        <v>Book</v>
      </c>
      <c r="G34" s="1" t="str">
        <f>"41471"</f>
        <v>41471</v>
      </c>
      <c r="H34" s="1" t="str">
        <f t="shared" ref="H34:H46" si="34">"2020-04-07"</f>
        <v>2020-04-07</v>
      </c>
      <c r="I34" s="1" t="str">
        <f t="shared" si="6"/>
        <v>2</v>
      </c>
      <c r="J34" s="1" t="str">
        <f t="shared" si="7"/>
        <v>Rejected All</v>
      </c>
      <c r="L34" s="1" t="str">
        <f>"41825"</f>
        <v>41825</v>
      </c>
      <c r="M34" s="1" t="str">
        <f>"45"</f>
        <v>45</v>
      </c>
      <c r="N34" s="1" t="str">
        <f>"containing written sexually explicit material involving minors"</f>
        <v>containing written sexually explicit material involving minors</v>
      </c>
    </row>
    <row r="35" ht="14.25" customHeight="1">
      <c r="A35" s="1" t="str">
        <f>"Jeet Secrets Do Basics"</f>
        <v>Jeet Secrets Do Basics</v>
      </c>
      <c r="B35" s="1" t="str">
        <f t="shared" si="32"/>
        <v>0</v>
      </c>
      <c r="C35" s="1" t="str">
        <f t="shared" si="33"/>
        <v>n/a</v>
      </c>
      <c r="D35" s="1" t="str">
        <f>"David Cheng"</f>
        <v>David Cheng</v>
      </c>
      <c r="E35" s="1" t="str">
        <f t="shared" si="27"/>
        <v>31</v>
      </c>
      <c r="F35" s="1" t="str">
        <f t="shared" si="28"/>
        <v>Book</v>
      </c>
      <c r="G35" s="1" t="str">
        <f>"41503"</f>
        <v>41503</v>
      </c>
      <c r="H35" s="1" t="str">
        <f t="shared" si="34"/>
        <v>2020-04-07</v>
      </c>
      <c r="I35" s="1" t="str">
        <f t="shared" si="6"/>
        <v>2</v>
      </c>
      <c r="J35" s="1" t="str">
        <f t="shared" si="7"/>
        <v>Rejected All</v>
      </c>
      <c r="L35" s="1" t="str">
        <f>"41857"</f>
        <v>41857</v>
      </c>
      <c r="M35" s="1" t="str">
        <f>"40"</f>
        <v>40</v>
      </c>
      <c r="N35" s="1" t="str">
        <f>"describing fighting techniques"</f>
        <v>describing fighting techniques</v>
      </c>
    </row>
    <row r="36" ht="14.25" customHeight="1">
      <c r="A36" s="1" t="str">
        <f>"Sugar Daddy"</f>
        <v>Sugar Daddy</v>
      </c>
      <c r="B36" s="1" t="str">
        <f t="shared" si="32"/>
        <v>0</v>
      </c>
      <c r="C36" s="1" t="str">
        <f t="shared" si="33"/>
        <v>n/a</v>
      </c>
      <c r="D36" s="1" t="str">
        <f>"Sawyer Bennett"</f>
        <v>Sawyer Bennett</v>
      </c>
      <c r="E36" s="1" t="str">
        <f t="shared" si="27"/>
        <v>31</v>
      </c>
      <c r="F36" s="1" t="str">
        <f t="shared" si="28"/>
        <v>Book</v>
      </c>
      <c r="G36" s="1" t="str">
        <f>"41504"</f>
        <v>41504</v>
      </c>
      <c r="H36" s="1" t="str">
        <f t="shared" si="34"/>
        <v>2020-04-07</v>
      </c>
      <c r="I36" s="1" t="str">
        <f t="shared" si="6"/>
        <v>2</v>
      </c>
      <c r="J36" s="1" t="str">
        <f t="shared" si="7"/>
        <v>Rejected All</v>
      </c>
      <c r="L36" s="1" t="str">
        <f>"41858"</f>
        <v>41858</v>
      </c>
      <c r="M36" s="1" t="str">
        <f>"8"</f>
        <v>8</v>
      </c>
      <c r="N36" s="1" t="str">
        <f>"containing writings in code"</f>
        <v>containing writings in code</v>
      </c>
    </row>
    <row r="37" ht="14.25" customHeight="1">
      <c r="A37" s="1" t="str">
        <f>"Saki the Succubus Hungers Tonight"</f>
        <v>Saki the Succubus Hungers Tonight</v>
      </c>
      <c r="B37" s="1" t="str">
        <f t="shared" si="32"/>
        <v>0</v>
      </c>
      <c r="C37" s="1" t="str">
        <f t="shared" si="33"/>
        <v>n/a</v>
      </c>
      <c r="D37" s="1" t="str">
        <f>"Mikokuno Homare"</f>
        <v>Mikokuno Homare</v>
      </c>
      <c r="E37" s="1" t="str">
        <f t="shared" si="27"/>
        <v>31</v>
      </c>
      <c r="F37" s="1" t="str">
        <f t="shared" si="28"/>
        <v>Book</v>
      </c>
      <c r="G37" s="1" t="str">
        <f>"41551"</f>
        <v>41551</v>
      </c>
      <c r="H37" s="1" t="str">
        <f t="shared" si="34"/>
        <v>2020-04-07</v>
      </c>
      <c r="I37" s="1" t="str">
        <f t="shared" si="6"/>
        <v>2</v>
      </c>
      <c r="J37" s="1" t="str">
        <f t="shared" si="7"/>
        <v>Rejected All</v>
      </c>
      <c r="L37" s="1" t="str">
        <f>"41909"</f>
        <v>41909</v>
      </c>
      <c r="M37" s="1" t="str">
        <f>"42"</f>
        <v>42</v>
      </c>
      <c r="N37" s="1" t="str">
        <f>"containing pictorially explicit nudity"</f>
        <v>containing pictorially explicit nudity</v>
      </c>
    </row>
    <row r="38" ht="14.25" customHeight="1">
      <c r="A38" s="1" t="str">
        <f>"Prodigal Father Pagan Son"</f>
        <v>Prodigal Father Pagan Son</v>
      </c>
      <c r="B38" s="1" t="str">
        <f t="shared" si="32"/>
        <v>0</v>
      </c>
      <c r="C38" s="1" t="str">
        <f t="shared" si="33"/>
        <v>n/a</v>
      </c>
      <c r="D38" s="1" t="str">
        <f>"Anthony Menginie"</f>
        <v>Anthony Menginie</v>
      </c>
      <c r="E38" s="1" t="str">
        <f t="shared" si="27"/>
        <v>31</v>
      </c>
      <c r="F38" s="1" t="str">
        <f t="shared" si="28"/>
        <v>Book</v>
      </c>
      <c r="G38" s="1" t="str">
        <f>"41512"</f>
        <v>41512</v>
      </c>
      <c r="H38" s="1" t="str">
        <f t="shared" si="34"/>
        <v>2020-04-07</v>
      </c>
      <c r="I38" s="1" t="str">
        <f t="shared" si="6"/>
        <v>2</v>
      </c>
      <c r="J38" s="1" t="str">
        <f t="shared" si="7"/>
        <v>Rejected All</v>
      </c>
      <c r="L38" s="1" t="str">
        <f>"42267"</f>
        <v>42267</v>
      </c>
      <c r="M38" s="1" t="str">
        <f t="shared" ref="M38:M39" si="35">"47"</f>
        <v>47</v>
      </c>
      <c r="N38" s="1" t="str">
        <f t="shared" ref="N38:N39" si="36">"containing descriptions of security risk group material or activity"</f>
        <v>containing descriptions of security risk group material or activity</v>
      </c>
    </row>
    <row r="39" ht="14.25" customHeight="1">
      <c r="A39" s="1" t="str">
        <f>"The Ones You Least Expect"</f>
        <v>The Ones You Least Expect</v>
      </c>
      <c r="B39" s="1" t="str">
        <f t="shared" si="32"/>
        <v>0</v>
      </c>
      <c r="C39" s="1" t="str">
        <f t="shared" si="33"/>
        <v>n/a</v>
      </c>
      <c r="D39" s="1" t="str">
        <f>"Robert &amp;quot;Deadeye&amp;quot; Baley"</f>
        <v>Robert &amp;quot;Deadeye&amp;quot; Baley</v>
      </c>
      <c r="E39" s="1" t="str">
        <f t="shared" si="27"/>
        <v>31</v>
      </c>
      <c r="F39" s="1" t="str">
        <f t="shared" si="28"/>
        <v>Book</v>
      </c>
      <c r="G39" s="1" t="str">
        <f>"41906"</f>
        <v>41906</v>
      </c>
      <c r="H39" s="1" t="str">
        <f t="shared" si="34"/>
        <v>2020-04-07</v>
      </c>
      <c r="I39" s="1" t="str">
        <f t="shared" si="6"/>
        <v>2</v>
      </c>
      <c r="J39" s="1" t="str">
        <f t="shared" si="7"/>
        <v>Rejected All</v>
      </c>
      <c r="L39" s="1" t="str">
        <f>"42269"</f>
        <v>42269</v>
      </c>
      <c r="M39" s="1" t="str">
        <f t="shared" si="35"/>
        <v>47</v>
      </c>
      <c r="N39" s="1" t="str">
        <f t="shared" si="36"/>
        <v>containing descriptions of security risk group material or activity</v>
      </c>
    </row>
    <row r="40" ht="14.25" customHeight="1">
      <c r="A40" s="1" t="str">
        <f>"Monster Musume"</f>
        <v>Monster Musume</v>
      </c>
      <c r="B40" s="1" t="str">
        <f>"8505"</f>
        <v>8505</v>
      </c>
      <c r="C40" s="1" t="str">
        <f>"Vol. 14"</f>
        <v>Vol. 14</v>
      </c>
      <c r="D40" s="1" t="str">
        <f>"Okayado"</f>
        <v>Okayado</v>
      </c>
      <c r="E40" s="1" t="str">
        <f t="shared" si="27"/>
        <v>31</v>
      </c>
      <c r="F40" s="1" t="str">
        <f t="shared" si="28"/>
        <v>Book</v>
      </c>
      <c r="G40" s="1" t="str">
        <f>"41469"</f>
        <v>41469</v>
      </c>
      <c r="H40" s="1" t="str">
        <f t="shared" si="34"/>
        <v>2020-04-07</v>
      </c>
      <c r="I40" s="1" t="str">
        <f t="shared" si="6"/>
        <v>2</v>
      </c>
      <c r="J40" s="1" t="str">
        <f t="shared" si="7"/>
        <v>Rejected All</v>
      </c>
      <c r="L40" s="1" t="str">
        <f>"41821"</f>
        <v>41821</v>
      </c>
      <c r="M40" s="1" t="str">
        <f t="shared" ref="M40:M43" si="37">"42"</f>
        <v>42</v>
      </c>
      <c r="N40" s="1" t="str">
        <f t="shared" ref="N40:N43" si="38">"containing pictorially explicit nudity"</f>
        <v>containing pictorially explicit nudity</v>
      </c>
    </row>
    <row r="41" ht="14.25" customHeight="1">
      <c r="A41" s="1" t="str">
        <f>"Holy Corpse Rising"</f>
        <v>Holy Corpse Rising</v>
      </c>
      <c r="B41" s="1" t="str">
        <f>"4314"</f>
        <v>4314</v>
      </c>
      <c r="C41" s="1" t="str">
        <f>"Vol. 4"</f>
        <v>Vol. 4</v>
      </c>
      <c r="D41" s="1" t="str">
        <f>"Hosana Tanaka"</f>
        <v>Hosana Tanaka</v>
      </c>
      <c r="E41" s="1" t="str">
        <f t="shared" si="27"/>
        <v>31</v>
      </c>
      <c r="F41" s="1" t="str">
        <f t="shared" si="28"/>
        <v>Book</v>
      </c>
      <c r="G41" s="1" t="str">
        <f>"41548"</f>
        <v>41548</v>
      </c>
      <c r="H41" s="1" t="str">
        <f t="shared" si="34"/>
        <v>2020-04-07</v>
      </c>
      <c r="I41" s="1" t="str">
        <f t="shared" si="6"/>
        <v>2</v>
      </c>
      <c r="J41" s="1" t="str">
        <f t="shared" si="7"/>
        <v>Rejected All</v>
      </c>
      <c r="L41" s="1" t="str">
        <f>"41905"</f>
        <v>41905</v>
      </c>
      <c r="M41" s="1" t="str">
        <f t="shared" si="37"/>
        <v>42</v>
      </c>
      <c r="N41" s="1" t="str">
        <f t="shared" si="38"/>
        <v>containing pictorially explicit nudity</v>
      </c>
    </row>
    <row r="42" ht="14.25" customHeight="1">
      <c r="A42" s="1" t="str">
        <f>"Magika Swordsman and Summoner"</f>
        <v>Magika Swordsman and Summoner</v>
      </c>
      <c r="B42" s="1" t="str">
        <f>"6842"</f>
        <v>6842</v>
      </c>
      <c r="C42" s="1" t="str">
        <f>"Vol. 8"</f>
        <v>Vol. 8</v>
      </c>
      <c r="D42" s="1" t="str">
        <f t="shared" ref="D42:D43" si="39">"Mitsuki Mihara"</f>
        <v>Mitsuki Mihara</v>
      </c>
      <c r="E42" s="1" t="str">
        <f t="shared" si="27"/>
        <v>31</v>
      </c>
      <c r="F42" s="1" t="str">
        <f t="shared" si="28"/>
        <v>Book</v>
      </c>
      <c r="G42" s="1" t="str">
        <f>"41546"</f>
        <v>41546</v>
      </c>
      <c r="H42" s="1" t="str">
        <f t="shared" si="34"/>
        <v>2020-04-07</v>
      </c>
      <c r="I42" s="1" t="str">
        <f t="shared" si="6"/>
        <v>2</v>
      </c>
      <c r="J42" s="1" t="str">
        <f t="shared" si="7"/>
        <v>Rejected All</v>
      </c>
      <c r="L42" s="1" t="str">
        <f>"41903"</f>
        <v>41903</v>
      </c>
      <c r="M42" s="1" t="str">
        <f t="shared" si="37"/>
        <v>42</v>
      </c>
      <c r="N42" s="1" t="str">
        <f t="shared" si="38"/>
        <v>containing pictorially explicit nudity</v>
      </c>
    </row>
    <row r="43" ht="14.25" customHeight="1">
      <c r="A43" s="1" t="str">
        <f>"Magika Sowrdsman and Summoner"</f>
        <v>Magika Sowrdsman and Summoner</v>
      </c>
      <c r="B43" s="1" t="str">
        <f>"7696"</f>
        <v>7696</v>
      </c>
      <c r="C43" s="1" t="str">
        <f>"Vol. 9"</f>
        <v>Vol. 9</v>
      </c>
      <c r="D43" s="1" t="str">
        <f t="shared" si="39"/>
        <v>Mitsuki Mihara</v>
      </c>
      <c r="E43" s="1" t="str">
        <f t="shared" si="27"/>
        <v>31</v>
      </c>
      <c r="F43" s="1" t="str">
        <f t="shared" si="28"/>
        <v>Book</v>
      </c>
      <c r="G43" s="1" t="str">
        <f>"41547"</f>
        <v>41547</v>
      </c>
      <c r="H43" s="1" t="str">
        <f t="shared" si="34"/>
        <v>2020-04-07</v>
      </c>
      <c r="I43" s="1" t="str">
        <f t="shared" si="6"/>
        <v>2</v>
      </c>
      <c r="J43" s="1" t="str">
        <f t="shared" si="7"/>
        <v>Rejected All</v>
      </c>
      <c r="L43" s="1" t="str">
        <f>"41904"</f>
        <v>41904</v>
      </c>
      <c r="M43" s="1" t="str">
        <f t="shared" si="37"/>
        <v>42</v>
      </c>
      <c r="N43" s="1" t="str">
        <f t="shared" si="38"/>
        <v>containing pictorially explicit nudity</v>
      </c>
    </row>
    <row r="44" ht="14.25" customHeight="1">
      <c r="A44" s="1" t="str">
        <f>"Tattoo Life"</f>
        <v>Tattoo Life</v>
      </c>
      <c r="B44" s="1" t="str">
        <f>"8512"</f>
        <v>8512</v>
      </c>
      <c r="C44" s="1" t="str">
        <f>"#120"</f>
        <v>#120</v>
      </c>
      <c r="E44" s="1" t="str">
        <f t="shared" ref="E44:E46" si="40">"32"</f>
        <v>32</v>
      </c>
      <c r="F44" s="1" t="str">
        <f t="shared" ref="F44:F46" si="41">"Magazine/Newspaper"</f>
        <v>Magazine/Newspaper</v>
      </c>
      <c r="G44" s="1" t="str">
        <f>"41516"</f>
        <v>41516</v>
      </c>
      <c r="H44" s="1" t="str">
        <f t="shared" si="34"/>
        <v>2020-04-07</v>
      </c>
      <c r="I44" s="1" t="str">
        <f t="shared" si="6"/>
        <v>2</v>
      </c>
      <c r="J44" s="1" t="str">
        <f t="shared" si="7"/>
        <v>Rejected All</v>
      </c>
      <c r="L44" s="1" t="str">
        <f>"41870"</f>
        <v>41870</v>
      </c>
      <c r="M44" s="1" t="str">
        <f t="shared" ref="M44:M45" si="42">"39"</f>
        <v>39</v>
      </c>
      <c r="N44" s="1" t="str">
        <f t="shared" ref="N44:N45" si="43">"being detrimental to security for the following reason:"</f>
        <v>being detrimental to security for the following reason:</v>
      </c>
    </row>
    <row r="45" ht="14.25" customHeight="1">
      <c r="A45" s="1" t="str">
        <f>"As Is"</f>
        <v>As Is</v>
      </c>
      <c r="B45" s="1" t="str">
        <f>"6575"</f>
        <v>6575</v>
      </c>
      <c r="C45" s="1" t="str">
        <f>"Special Issue"</f>
        <v>Special Issue</v>
      </c>
      <c r="E45" s="1" t="str">
        <f t="shared" si="40"/>
        <v>32</v>
      </c>
      <c r="F45" s="1" t="str">
        <f t="shared" si="41"/>
        <v>Magazine/Newspaper</v>
      </c>
      <c r="G45" s="1" t="str">
        <f>"41517"</f>
        <v>41517</v>
      </c>
      <c r="H45" s="1" t="str">
        <f t="shared" si="34"/>
        <v>2020-04-07</v>
      </c>
      <c r="I45" s="1" t="str">
        <f t="shared" si="6"/>
        <v>2</v>
      </c>
      <c r="J45" s="1" t="str">
        <f t="shared" si="7"/>
        <v>Rejected All</v>
      </c>
      <c r="L45" s="1" t="str">
        <f>"41871"</f>
        <v>41871</v>
      </c>
      <c r="M45" s="1" t="str">
        <f t="shared" si="42"/>
        <v>39</v>
      </c>
      <c r="N45" s="1" t="str">
        <f t="shared" si="43"/>
        <v>being detrimental to security for the following reason:</v>
      </c>
    </row>
    <row r="46" ht="14.25" customHeight="1">
      <c r="A46" s="1" t="str">
        <f>"What is the Science"</f>
        <v>What is the Science</v>
      </c>
      <c r="B46" s="1" t="str">
        <f>"4164"</f>
        <v>4164</v>
      </c>
      <c r="C46" s="1" t="str">
        <f>"Vol. 1"</f>
        <v>Vol. 1</v>
      </c>
      <c r="E46" s="1" t="str">
        <f t="shared" si="40"/>
        <v>32</v>
      </c>
      <c r="F46" s="1" t="str">
        <f t="shared" si="41"/>
        <v>Magazine/Newspaper</v>
      </c>
      <c r="G46" s="1" t="str">
        <f>"41513"</f>
        <v>41513</v>
      </c>
      <c r="H46" s="1" t="str">
        <f t="shared" si="34"/>
        <v>2020-04-07</v>
      </c>
      <c r="I46" s="1" t="str">
        <f t="shared" si="6"/>
        <v>2</v>
      </c>
      <c r="J46" s="1" t="str">
        <f t="shared" si="7"/>
        <v>Rejected All</v>
      </c>
      <c r="L46" s="1" t="str">
        <f>"41867"</f>
        <v>41867</v>
      </c>
      <c r="M46" s="1" t="str">
        <f t="shared" ref="M46:M47" si="44">"42"</f>
        <v>42</v>
      </c>
      <c r="N46" s="1" t="str">
        <f t="shared" ref="N46:N47" si="45">"containing pictorially explicit nudity"</f>
        <v>containing pictorially explicit nudity</v>
      </c>
    </row>
    <row r="47" ht="14.25" customHeight="1">
      <c r="A47" s="1" t="str">
        <f>"Magika Swordsman and Summoner"</f>
        <v>Magika Swordsman and Summoner</v>
      </c>
      <c r="B47" s="1" t="str">
        <f>"550"</f>
        <v>550</v>
      </c>
      <c r="C47" s="1" t="str">
        <f>"#9"</f>
        <v>#9</v>
      </c>
      <c r="D47" s="1" t="str">
        <f>"Mitsuki Mihara"</f>
        <v>Mitsuki Mihara</v>
      </c>
      <c r="E47" s="1" t="str">
        <f t="shared" ref="E47:E53" si="46">"31"</f>
        <v>31</v>
      </c>
      <c r="F47" s="1" t="str">
        <f t="shared" ref="F47:F53" si="47">"Book"</f>
        <v>Book</v>
      </c>
      <c r="G47" s="1" t="str">
        <f>"41601"</f>
        <v>41601</v>
      </c>
      <c r="H47" s="1" t="str">
        <f t="shared" ref="H47:H57" si="48">"2020-04-21"</f>
        <v>2020-04-21</v>
      </c>
      <c r="I47" s="1" t="str">
        <f t="shared" si="6"/>
        <v>2</v>
      </c>
      <c r="J47" s="1" t="str">
        <f t="shared" si="7"/>
        <v>Rejected All</v>
      </c>
      <c r="L47" s="1" t="str">
        <f>"41959"</f>
        <v>41959</v>
      </c>
      <c r="M47" s="1" t="str">
        <f t="shared" si="44"/>
        <v>42</v>
      </c>
      <c r="N47" s="1" t="str">
        <f t="shared" si="45"/>
        <v>containing pictorially explicit nudity</v>
      </c>
    </row>
    <row r="48" ht="14.25" customHeight="1">
      <c r="A48" s="1" t="str">
        <f>"The Fall of America"</f>
        <v>The Fall of America</v>
      </c>
      <c r="B48" s="1" t="str">
        <f t="shared" ref="B48:B53" si="49">"0"</f>
        <v>0</v>
      </c>
      <c r="C48" s="1" t="str">
        <f t="shared" ref="C48:C53" si="50">"n/a"</f>
        <v>n/a</v>
      </c>
      <c r="D48" s="1" t="str">
        <f>"Elijah Muhammad"</f>
        <v>Elijah Muhammad</v>
      </c>
      <c r="E48" s="1" t="str">
        <f t="shared" si="46"/>
        <v>31</v>
      </c>
      <c r="F48" s="1" t="str">
        <f t="shared" si="47"/>
        <v>Book</v>
      </c>
      <c r="G48" s="1" t="str">
        <f>"41590"</f>
        <v>41590</v>
      </c>
      <c r="H48" s="1" t="str">
        <f t="shared" si="48"/>
        <v>2020-04-21</v>
      </c>
      <c r="I48" s="1" t="str">
        <f t="shared" si="6"/>
        <v>2</v>
      </c>
      <c r="J48" s="1" t="str">
        <f t="shared" si="7"/>
        <v>Rejected All</v>
      </c>
      <c r="L48" s="1" t="str">
        <f>"41948"</f>
        <v>41948</v>
      </c>
      <c r="M48" s="1" t="str">
        <f>"49"</f>
        <v>49</v>
      </c>
      <c r="N48" s="1" t="s">
        <v>0</v>
      </c>
    </row>
    <row r="49" ht="14.25" customHeight="1">
      <c r="A49" s="1" t="str">
        <f>"Nipsey Hussle The Secret Biography"</f>
        <v>Nipsey Hussle The Secret Biography</v>
      </c>
      <c r="B49" s="1" t="str">
        <f t="shared" si="49"/>
        <v>0</v>
      </c>
      <c r="C49" s="1" t="str">
        <f t="shared" si="50"/>
        <v>n/a</v>
      </c>
      <c r="D49" s="1" t="str">
        <f>"JJ Vance"</f>
        <v>JJ Vance</v>
      </c>
      <c r="E49" s="1" t="str">
        <f t="shared" si="46"/>
        <v>31</v>
      </c>
      <c r="F49" s="1" t="str">
        <f t="shared" si="47"/>
        <v>Book</v>
      </c>
      <c r="G49" s="1" t="str">
        <f>"41599"</f>
        <v>41599</v>
      </c>
      <c r="H49" s="1" t="str">
        <f t="shared" si="48"/>
        <v>2020-04-21</v>
      </c>
      <c r="I49" s="1" t="str">
        <f t="shared" si="6"/>
        <v>2</v>
      </c>
      <c r="J49" s="1" t="str">
        <f t="shared" si="7"/>
        <v>Rejected All</v>
      </c>
      <c r="L49" s="1" t="str">
        <f>"41957"</f>
        <v>41957</v>
      </c>
      <c r="M49" s="1" t="str">
        <f>"47"</f>
        <v>47</v>
      </c>
      <c r="N49" s="1" t="str">
        <f>"containing descriptions of security risk group material or activity"</f>
        <v>containing descriptions of security risk group material or activity</v>
      </c>
    </row>
    <row r="50" ht="14.25" customHeight="1">
      <c r="A50" s="1" t="str">
        <f>"Marked for Life"</f>
        <v>Marked for Life</v>
      </c>
      <c r="B50" s="1" t="str">
        <f t="shared" si="49"/>
        <v>0</v>
      </c>
      <c r="C50" s="1" t="str">
        <f t="shared" si="50"/>
        <v>n/a</v>
      </c>
      <c r="D50" s="1" t="str">
        <f>"Steve Bonge"</f>
        <v>Steve Bonge</v>
      </c>
      <c r="E50" s="1" t="str">
        <f t="shared" si="46"/>
        <v>31</v>
      </c>
      <c r="F50" s="1" t="str">
        <f t="shared" si="47"/>
        <v>Book</v>
      </c>
      <c r="G50" s="1" t="str">
        <f>"41600"</f>
        <v>41600</v>
      </c>
      <c r="H50" s="1" t="str">
        <f t="shared" si="48"/>
        <v>2020-04-21</v>
      </c>
      <c r="I50" s="1" t="str">
        <f t="shared" si="6"/>
        <v>2</v>
      </c>
      <c r="J50" s="1" t="str">
        <f t="shared" si="7"/>
        <v>Rejected All</v>
      </c>
      <c r="L50" s="1" t="str">
        <f>"41958"</f>
        <v>41958</v>
      </c>
      <c r="M50" s="1" t="str">
        <f>"42"</f>
        <v>42</v>
      </c>
      <c r="N50" s="1" t="str">
        <f>"containing pictorially explicit nudity"</f>
        <v>containing pictorially explicit nudity</v>
      </c>
    </row>
    <row r="51" ht="14.25" customHeight="1">
      <c r="A51" s="1" t="str">
        <f>"Anti-Magic Academy The 25th Test Platoon The Complete"</f>
        <v>Anti-Magic Academy The 25th Test Platoon The Complete</v>
      </c>
      <c r="B51" s="1" t="str">
        <f t="shared" si="49"/>
        <v>0</v>
      </c>
      <c r="C51" s="1" t="str">
        <f t="shared" si="50"/>
        <v>n/a</v>
      </c>
      <c r="D51" s="1" t="str">
        <f>"Touki Yanagmi - Seven Seas"</f>
        <v>Touki Yanagmi - Seven Seas</v>
      </c>
      <c r="E51" s="1" t="str">
        <f t="shared" si="46"/>
        <v>31</v>
      </c>
      <c r="F51" s="1" t="str">
        <f t="shared" si="47"/>
        <v>Book</v>
      </c>
      <c r="G51" s="1" t="str">
        <f>"41618"</f>
        <v>41618</v>
      </c>
      <c r="H51" s="1" t="str">
        <f t="shared" si="48"/>
        <v>2020-04-21</v>
      </c>
      <c r="I51" s="1" t="str">
        <f t="shared" si="6"/>
        <v>2</v>
      </c>
      <c r="J51" s="1" t="str">
        <f t="shared" si="7"/>
        <v>Rejected All</v>
      </c>
      <c r="L51" s="1" t="str">
        <f>"41977"</f>
        <v>41977</v>
      </c>
      <c r="M51" s="1" t="str">
        <f>"41"</f>
        <v>41</v>
      </c>
      <c r="N51" s="1" t="str">
        <f>"containing pictorially explicit sexual activity"</f>
        <v>containing pictorially explicit sexual activity</v>
      </c>
    </row>
    <row r="52" ht="14.25" customHeight="1">
      <c r="A52" s="1" t="str">
        <f>"Desire New Erotic Photography"</f>
        <v>Desire New Erotic Photography</v>
      </c>
      <c r="B52" s="1" t="str">
        <f t="shared" si="49"/>
        <v>0</v>
      </c>
      <c r="C52" s="1" t="str">
        <f t="shared" si="50"/>
        <v>n/a</v>
      </c>
      <c r="D52" s="1" t="str">
        <f>"Patrick Remy"</f>
        <v>Patrick Remy</v>
      </c>
      <c r="E52" s="1" t="str">
        <f t="shared" si="46"/>
        <v>31</v>
      </c>
      <c r="F52" s="1" t="str">
        <f t="shared" si="47"/>
        <v>Book</v>
      </c>
      <c r="G52" s="1" t="str">
        <f>"41620"</f>
        <v>41620</v>
      </c>
      <c r="H52" s="1" t="str">
        <f t="shared" si="48"/>
        <v>2020-04-21</v>
      </c>
      <c r="I52" s="1" t="str">
        <f t="shared" si="6"/>
        <v>2</v>
      </c>
      <c r="J52" s="1" t="str">
        <f t="shared" si="7"/>
        <v>Rejected All</v>
      </c>
      <c r="L52" s="1" t="str">
        <f>"41978"</f>
        <v>41978</v>
      </c>
      <c r="M52" s="1" t="str">
        <f t="shared" ref="M52:M54" si="51">"42"</f>
        <v>42</v>
      </c>
      <c r="N52" s="1" t="str">
        <f t="shared" ref="N52:N54" si="52">"containing pictorially explicit nudity"</f>
        <v>containing pictorially explicit nudity</v>
      </c>
    </row>
    <row r="53" ht="14.25" customHeight="1">
      <c r="A53" s="1" t="str">
        <f>"Dark Lines Adult Coloring Book"</f>
        <v>Dark Lines Adult Coloring Book</v>
      </c>
      <c r="B53" s="1" t="str">
        <f t="shared" si="49"/>
        <v>0</v>
      </c>
      <c r="C53" s="1" t="str">
        <f t="shared" si="50"/>
        <v>n/a</v>
      </c>
      <c r="D53" s="1" t="str">
        <f>"Ian Mosher"</f>
        <v>Ian Mosher</v>
      </c>
      <c r="E53" s="1" t="str">
        <f t="shared" si="46"/>
        <v>31</v>
      </c>
      <c r="F53" s="1" t="str">
        <f t="shared" si="47"/>
        <v>Book</v>
      </c>
      <c r="G53" s="1" t="str">
        <f>"41621"</f>
        <v>41621</v>
      </c>
      <c r="H53" s="1" t="str">
        <f t="shared" si="48"/>
        <v>2020-04-21</v>
      </c>
      <c r="I53" s="1" t="str">
        <f t="shared" si="6"/>
        <v>2</v>
      </c>
      <c r="J53" s="1" t="str">
        <f t="shared" si="7"/>
        <v>Rejected All</v>
      </c>
      <c r="L53" s="1" t="str">
        <f>"41979"</f>
        <v>41979</v>
      </c>
      <c r="M53" s="1" t="str">
        <f t="shared" si="51"/>
        <v>42</v>
      </c>
      <c r="N53" s="1" t="str">
        <f t="shared" si="52"/>
        <v>containing pictorially explicit nudity</v>
      </c>
    </row>
    <row r="54" ht="14.25" customHeight="1">
      <c r="A54" s="1" t="str">
        <f>"Straight Stuntin"</f>
        <v>Straight Stuntin</v>
      </c>
      <c r="B54" s="1" t="str">
        <f>"8556"</f>
        <v>8556</v>
      </c>
      <c r="C54" s="1" t="str">
        <f>"Latin Edition"</f>
        <v>Latin Edition</v>
      </c>
      <c r="E54" s="1" t="str">
        <f t="shared" ref="E54:E57" si="53">"32"</f>
        <v>32</v>
      </c>
      <c r="F54" s="1" t="str">
        <f t="shared" ref="F54:F57" si="54">"Magazine/Newspaper"</f>
        <v>Magazine/Newspaper</v>
      </c>
      <c r="G54" s="1" t="str">
        <f>"41663"</f>
        <v>41663</v>
      </c>
      <c r="H54" s="1" t="str">
        <f t="shared" si="48"/>
        <v>2020-04-21</v>
      </c>
      <c r="I54" s="1" t="str">
        <f t="shared" si="6"/>
        <v>2</v>
      </c>
      <c r="J54" s="1" t="str">
        <f t="shared" si="7"/>
        <v>Rejected All</v>
      </c>
      <c r="L54" s="1" t="str">
        <f>"42022"</f>
        <v>42022</v>
      </c>
      <c r="M54" s="1" t="str">
        <f t="shared" si="51"/>
        <v>42</v>
      </c>
      <c r="N54" s="1" t="str">
        <f t="shared" si="52"/>
        <v>containing pictorially explicit nudity</v>
      </c>
    </row>
    <row r="55" ht="14.25" customHeight="1">
      <c r="A55" s="1" t="str">
        <f>"The Backwoodsman"</f>
        <v>The Backwoodsman</v>
      </c>
      <c r="B55" s="1" t="str">
        <f>"8539"</f>
        <v>8539</v>
      </c>
      <c r="C55" s="1" t="str">
        <f>"May/June 2020 Vol. 41 No. 3"</f>
        <v>May/June 2020 Vol. 41 No. 3</v>
      </c>
      <c r="E55" s="1" t="str">
        <f t="shared" si="53"/>
        <v>32</v>
      </c>
      <c r="F55" s="1" t="str">
        <f t="shared" si="54"/>
        <v>Magazine/Newspaper</v>
      </c>
      <c r="G55" s="1" t="str">
        <f>"41624"</f>
        <v>41624</v>
      </c>
      <c r="H55" s="1" t="str">
        <f t="shared" si="48"/>
        <v>2020-04-21</v>
      </c>
      <c r="I55" s="1" t="str">
        <f t="shared" si="6"/>
        <v>2</v>
      </c>
      <c r="J55" s="1" t="str">
        <f t="shared" si="7"/>
        <v>Rejected All</v>
      </c>
      <c r="L55" s="1" t="str">
        <f>"41982"</f>
        <v>41982</v>
      </c>
      <c r="M55" s="1" t="str">
        <f>"5"</f>
        <v>5</v>
      </c>
      <c r="N55" s="1" t="str">
        <f>"containing weapon construction procedures"</f>
        <v>containing weapon construction procedures</v>
      </c>
    </row>
    <row r="56" ht="14.25" customHeight="1">
      <c r="A56" s="1" t="str">
        <f>"Pack of Origami Paper"</f>
        <v>Pack of Origami Paper</v>
      </c>
      <c r="B56" s="1" t="str">
        <f>"0"</f>
        <v>0</v>
      </c>
      <c r="C56" s="1" t="str">
        <f>"n/a"</f>
        <v>n/a</v>
      </c>
      <c r="E56" s="1" t="str">
        <f t="shared" si="53"/>
        <v>32</v>
      </c>
      <c r="F56" s="1" t="str">
        <f t="shared" si="54"/>
        <v>Magazine/Newspaper</v>
      </c>
      <c r="G56" s="1" t="str">
        <f>"41677"</f>
        <v>41677</v>
      </c>
      <c r="H56" s="1" t="str">
        <f t="shared" si="48"/>
        <v>2020-04-21</v>
      </c>
      <c r="I56" s="1" t="str">
        <f t="shared" si="6"/>
        <v>2</v>
      </c>
      <c r="J56" s="1" t="str">
        <f t="shared" si="7"/>
        <v>Rejected All</v>
      </c>
      <c r="L56" s="1" t="str">
        <f>"42036"</f>
        <v>42036</v>
      </c>
      <c r="M56" s="1" t="str">
        <f>"39"</f>
        <v>39</v>
      </c>
      <c r="N56" s="1" t="str">
        <f>"being detrimental to security for the following reason:"</f>
        <v>being detrimental to security for the following reason:</v>
      </c>
    </row>
    <row r="57" ht="14.25" customHeight="1">
      <c r="A57" s="1" t="str">
        <f>"Gyro Virol"</f>
        <v>Gyro Virol</v>
      </c>
      <c r="B57" s="1" t="str">
        <f>"4283"</f>
        <v>4283</v>
      </c>
      <c r="C57" s="1" t="str">
        <f>"Vol. 3"</f>
        <v>Vol. 3</v>
      </c>
      <c r="E57" s="1" t="str">
        <f t="shared" si="53"/>
        <v>32</v>
      </c>
      <c r="F57" s="1" t="str">
        <f t="shared" si="54"/>
        <v>Magazine/Newspaper</v>
      </c>
      <c r="G57" s="1" t="str">
        <f>"41625"</f>
        <v>41625</v>
      </c>
      <c r="H57" s="1" t="str">
        <f t="shared" si="48"/>
        <v>2020-04-21</v>
      </c>
      <c r="I57" s="1" t="str">
        <f t="shared" si="6"/>
        <v>2</v>
      </c>
      <c r="J57" s="1" t="str">
        <f t="shared" si="7"/>
        <v>Rejected All</v>
      </c>
      <c r="L57" s="1" t="str">
        <f>"41983"</f>
        <v>41983</v>
      </c>
      <c r="M57" s="1" t="str">
        <f t="shared" ref="M57:M58" si="55">"42"</f>
        <v>42</v>
      </c>
      <c r="N57" s="1" t="str">
        <f t="shared" ref="N57:N58" si="56">"containing pictorially explicit nudity"</f>
        <v>containing pictorially explicit nudity</v>
      </c>
    </row>
    <row r="58" ht="14.25" customHeight="1">
      <c r="A58" s="1" t="str">
        <f>"The Black Book of Sex Position"</f>
        <v>The Black Book of Sex Position</v>
      </c>
      <c r="B58" s="1" t="str">
        <f t="shared" ref="B58:B62" si="57">"0"</f>
        <v>0</v>
      </c>
      <c r="C58" s="1" t="str">
        <f t="shared" ref="C58:C62" si="58">"n/a"</f>
        <v>n/a</v>
      </c>
      <c r="D58" s="1" t="str">
        <f>"Jennifer Baritchi"</f>
        <v>Jennifer Baritchi</v>
      </c>
      <c r="E58" s="1" t="str">
        <f t="shared" ref="E58:E63" si="59">"31"</f>
        <v>31</v>
      </c>
      <c r="F58" s="1" t="str">
        <f t="shared" ref="F58:F63" si="60">"Book"</f>
        <v>Book</v>
      </c>
      <c r="G58" s="1" t="str">
        <f>"41731"</f>
        <v>41731</v>
      </c>
      <c r="H58" s="1" t="str">
        <f t="shared" ref="H58:H65" si="61">"2020-05-05"</f>
        <v>2020-05-05</v>
      </c>
      <c r="I58" s="1" t="str">
        <f t="shared" si="6"/>
        <v>2</v>
      </c>
      <c r="J58" s="1" t="str">
        <f t="shared" si="7"/>
        <v>Rejected All</v>
      </c>
      <c r="L58" s="1" t="str">
        <f>"42089"</f>
        <v>42089</v>
      </c>
      <c r="M58" s="1" t="str">
        <f t="shared" si="55"/>
        <v>42</v>
      </c>
      <c r="N58" s="1" t="str">
        <f t="shared" si="56"/>
        <v>containing pictorially explicit nudity</v>
      </c>
    </row>
    <row r="59" ht="14.25" customHeight="1">
      <c r="A59" s="1" t="str">
        <f>"Cannabis Jobs: How to Make A living and Have A Career In the World of Legalized Marijuana"</f>
        <v>Cannabis Jobs: How to Make A living and Have A Career In the World of Legalized Marijuana</v>
      </c>
      <c r="B59" s="1" t="str">
        <f t="shared" si="57"/>
        <v>0</v>
      </c>
      <c r="C59" s="1" t="str">
        <f t="shared" si="58"/>
        <v>n/a</v>
      </c>
      <c r="D59" s="1" t="str">
        <f>"Andrew King"</f>
        <v>Andrew King</v>
      </c>
      <c r="E59" s="1" t="str">
        <f t="shared" si="59"/>
        <v>31</v>
      </c>
      <c r="F59" s="1" t="str">
        <f t="shared" si="60"/>
        <v>Book</v>
      </c>
      <c r="G59" s="1" t="str">
        <f>"41734"</f>
        <v>41734</v>
      </c>
      <c r="H59" s="1" t="str">
        <f t="shared" si="61"/>
        <v>2020-05-05</v>
      </c>
      <c r="I59" s="1" t="str">
        <f t="shared" si="6"/>
        <v>2</v>
      </c>
      <c r="J59" s="1" t="str">
        <f t="shared" si="7"/>
        <v>Rejected All</v>
      </c>
      <c r="L59" s="1" t="str">
        <f>"42092"</f>
        <v>42092</v>
      </c>
      <c r="M59" s="1" t="str">
        <f>"7"</f>
        <v>7</v>
      </c>
      <c r="N59" s="1" t="str">
        <f>"describing procedures to brew alcohol or manufacture drugs"</f>
        <v>describing procedures to brew alcohol or manufacture drugs</v>
      </c>
    </row>
    <row r="60" ht="14.25" customHeight="1">
      <c r="A60" s="1" t="str">
        <f>"Heinrich Himmler"</f>
        <v>Heinrich Himmler</v>
      </c>
      <c r="B60" s="1" t="str">
        <f t="shared" si="57"/>
        <v>0</v>
      </c>
      <c r="C60" s="1" t="str">
        <f t="shared" si="58"/>
        <v>n/a</v>
      </c>
      <c r="D60" s="1" t="str">
        <f>"Roger Manwell and Heinrich Fraenkel"</f>
        <v>Roger Manwell and Heinrich Fraenkel</v>
      </c>
      <c r="E60" s="1" t="str">
        <f t="shared" si="59"/>
        <v>31</v>
      </c>
      <c r="F60" s="1" t="str">
        <f t="shared" si="60"/>
        <v>Book</v>
      </c>
      <c r="G60" s="1" t="str">
        <f>"41736"</f>
        <v>41736</v>
      </c>
      <c r="H60" s="1" t="str">
        <f t="shared" si="61"/>
        <v>2020-05-05</v>
      </c>
      <c r="I60" s="1" t="str">
        <f t="shared" si="6"/>
        <v>2</v>
      </c>
      <c r="J60" s="1" t="str">
        <f t="shared" si="7"/>
        <v>Rejected All</v>
      </c>
      <c r="L60" s="1" t="str">
        <f>"42094"</f>
        <v>42094</v>
      </c>
      <c r="M60" s="1" t="str">
        <f>"49"</f>
        <v>49</v>
      </c>
      <c r="N60" s="1" t="s">
        <v>0</v>
      </c>
    </row>
    <row r="61" ht="14.25" customHeight="1">
      <c r="A61" s="1" t="str">
        <f>"Big Black Book of Sex Position "</f>
        <v>Big Black Book of Sex Position </v>
      </c>
      <c r="B61" s="1" t="str">
        <f t="shared" si="57"/>
        <v>0</v>
      </c>
      <c r="C61" s="1" t="str">
        <f t="shared" si="58"/>
        <v>n/a</v>
      </c>
      <c r="D61" s="1" t="str">
        <f>"Jennifer Baritchi  and Rob Alex"</f>
        <v>Jennifer Baritchi  and Rob Alex</v>
      </c>
      <c r="E61" s="1" t="str">
        <f t="shared" si="59"/>
        <v>31</v>
      </c>
      <c r="F61" s="1" t="str">
        <f t="shared" si="60"/>
        <v>Book</v>
      </c>
      <c r="G61" s="1" t="str">
        <f>"41759"</f>
        <v>41759</v>
      </c>
      <c r="H61" s="1" t="str">
        <f t="shared" si="61"/>
        <v>2020-05-05</v>
      </c>
      <c r="I61" s="1" t="str">
        <f t="shared" si="6"/>
        <v>2</v>
      </c>
      <c r="J61" s="1" t="str">
        <f t="shared" si="7"/>
        <v>Rejected All</v>
      </c>
      <c r="L61" s="1" t="str">
        <f>"42117"</f>
        <v>42117</v>
      </c>
      <c r="M61" s="1" t="str">
        <f>"41"</f>
        <v>41</v>
      </c>
      <c r="N61" s="1" t="str">
        <f>"containing pictorially explicit sexual activity"</f>
        <v>containing pictorially explicit sexual activity</v>
      </c>
    </row>
    <row r="62" ht="14.25" customHeight="1">
      <c r="A62" s="1" t="str">
        <f>"The Second Coming of the KKK; the Ku Klux Klan of the 1920s and the American Political Tradition"</f>
        <v>The Second Coming of the KKK; the Ku Klux Klan of the 1920s and the American Political Tradition</v>
      </c>
      <c r="B62" s="1" t="str">
        <f t="shared" si="57"/>
        <v>0</v>
      </c>
      <c r="C62" s="1" t="str">
        <f t="shared" si="58"/>
        <v>n/a</v>
      </c>
      <c r="D62" s="1" t="str">
        <f>"Linda Gordon"</f>
        <v>Linda Gordon</v>
      </c>
      <c r="E62" s="1" t="str">
        <f t="shared" si="59"/>
        <v>31</v>
      </c>
      <c r="F62" s="1" t="str">
        <f t="shared" si="60"/>
        <v>Book</v>
      </c>
      <c r="G62" s="1" t="str">
        <f>"41768"</f>
        <v>41768</v>
      </c>
      <c r="H62" s="1" t="str">
        <f t="shared" si="61"/>
        <v>2020-05-05</v>
      </c>
      <c r="I62" s="1" t="str">
        <f t="shared" si="6"/>
        <v>2</v>
      </c>
      <c r="J62" s="1" t="str">
        <f t="shared" si="7"/>
        <v>Rejected All</v>
      </c>
      <c r="L62" s="1" t="str">
        <f>"42126"</f>
        <v>42126</v>
      </c>
      <c r="M62" s="1" t="str">
        <f>"49"</f>
        <v>49</v>
      </c>
      <c r="N62" s="1" t="s">
        <v>0</v>
      </c>
    </row>
    <row r="63" ht="14.25" customHeight="1">
      <c r="A63" s="1" t="str">
        <f>"Ink &amp;#39;N Girls"</f>
        <v>Ink &amp;#39;N Girls</v>
      </c>
      <c r="B63" s="1" t="str">
        <f>"4241"</f>
        <v>4241</v>
      </c>
      <c r="C63" s="1" t="str">
        <f>"Vol. 2"</f>
        <v>Vol. 2</v>
      </c>
      <c r="D63" s="1" t="str">
        <f>"Akos Banfalvi"</f>
        <v>Akos Banfalvi</v>
      </c>
      <c r="E63" s="1" t="str">
        <f t="shared" si="59"/>
        <v>31</v>
      </c>
      <c r="F63" s="1" t="str">
        <f t="shared" si="60"/>
        <v>Book</v>
      </c>
      <c r="G63" s="1" t="str">
        <f>"41737"</f>
        <v>41737</v>
      </c>
      <c r="H63" s="1" t="str">
        <f t="shared" si="61"/>
        <v>2020-05-05</v>
      </c>
      <c r="I63" s="1" t="str">
        <f t="shared" si="6"/>
        <v>2</v>
      </c>
      <c r="J63" s="1" t="str">
        <f t="shared" si="7"/>
        <v>Rejected All</v>
      </c>
      <c r="L63" s="1" t="str">
        <f>"42095"</f>
        <v>42095</v>
      </c>
      <c r="M63" s="1" t="str">
        <f>"42"</f>
        <v>42</v>
      </c>
      <c r="N63" s="1" t="str">
        <f>"containing pictorially explicit nudity"</f>
        <v>containing pictorially explicit nudity</v>
      </c>
    </row>
    <row r="64" ht="14.25" customHeight="1">
      <c r="A64" s="1" t="str">
        <f>"High Society"</f>
        <v>High Society</v>
      </c>
      <c r="B64" s="1" t="str">
        <f>"8596"</f>
        <v>8596</v>
      </c>
      <c r="C64" s="1" t="str">
        <f>"#280"</f>
        <v>#280</v>
      </c>
      <c r="E64" s="1" t="str">
        <f t="shared" ref="E64:E65" si="62">"32"</f>
        <v>32</v>
      </c>
      <c r="F64" s="1" t="str">
        <f t="shared" ref="F64:F65" si="63">"Magazine/Newspaper"</f>
        <v>Magazine/Newspaper</v>
      </c>
      <c r="G64" s="1" t="str">
        <f>"41732"</f>
        <v>41732</v>
      </c>
      <c r="H64" s="1" t="str">
        <f t="shared" si="61"/>
        <v>2020-05-05</v>
      </c>
      <c r="I64" s="1" t="str">
        <f t="shared" si="6"/>
        <v>2</v>
      </c>
      <c r="J64" s="1" t="str">
        <f t="shared" si="7"/>
        <v>Rejected All</v>
      </c>
      <c r="L64" s="1" t="str">
        <f>"42090"</f>
        <v>42090</v>
      </c>
      <c r="M64" s="1" t="str">
        <f>"41"</f>
        <v>41</v>
      </c>
      <c r="N64" s="1" t="str">
        <f>"containing pictorially explicit sexual activity"</f>
        <v>containing pictorially explicit sexual activity</v>
      </c>
    </row>
    <row r="65" ht="14.25" customHeight="1">
      <c r="A65" s="1" t="str">
        <f>"Straight Stuntin"</f>
        <v>Straight Stuntin</v>
      </c>
      <c r="B65" s="1" t="str">
        <f>"8605"</f>
        <v>8605</v>
      </c>
      <c r="C65" s="1" t="str">
        <f>"Latina Action"</f>
        <v>Latina Action</v>
      </c>
      <c r="E65" s="1" t="str">
        <f t="shared" si="62"/>
        <v>32</v>
      </c>
      <c r="F65" s="1" t="str">
        <f t="shared" si="63"/>
        <v>Magazine/Newspaper</v>
      </c>
      <c r="G65" s="1" t="str">
        <f>"41760"</f>
        <v>41760</v>
      </c>
      <c r="H65" s="1" t="str">
        <f t="shared" si="61"/>
        <v>2020-05-05</v>
      </c>
      <c r="I65" s="1" t="str">
        <f t="shared" si="6"/>
        <v>2</v>
      </c>
      <c r="J65" s="1" t="str">
        <f t="shared" si="7"/>
        <v>Rejected All</v>
      </c>
      <c r="L65" s="1" t="str">
        <f>"42118"</f>
        <v>42118</v>
      </c>
      <c r="M65" s="1" t="str">
        <f>"42"</f>
        <v>42</v>
      </c>
      <c r="N65" s="1" t="str">
        <f>"containing pictorially explicit nudity"</f>
        <v>containing pictorially explicit nudity</v>
      </c>
    </row>
    <row r="66" ht="14.25" customHeight="1">
      <c r="A66" s="1" t="str">
        <f>"Makes More Electricity"</f>
        <v>Makes More Electricity</v>
      </c>
      <c r="B66" s="1" t="str">
        <f t="shared" ref="B66:B74" si="64">"0"</f>
        <v>0</v>
      </c>
      <c r="C66" s="1" t="str">
        <f t="shared" ref="C66:C74" si="65">"n/a"</f>
        <v>n/a</v>
      </c>
      <c r="D66" s="1" t="str">
        <f>"Charles Platt"</f>
        <v>Charles Platt</v>
      </c>
      <c r="E66" s="1" t="str">
        <f t="shared" ref="E66:E78" si="66">"31"</f>
        <v>31</v>
      </c>
      <c r="F66" s="1" t="str">
        <f t="shared" ref="F66:F78" si="67">"Book"</f>
        <v>Book</v>
      </c>
      <c r="G66" s="1" t="str">
        <f>"41778"</f>
        <v>41778</v>
      </c>
      <c r="H66" s="1" t="str">
        <f t="shared" ref="H66:H80" si="68">"2020-05-19"</f>
        <v>2020-05-19</v>
      </c>
      <c r="I66" s="1" t="str">
        <f t="shared" si="6"/>
        <v>2</v>
      </c>
      <c r="J66" s="1" t="str">
        <f t="shared" si="7"/>
        <v>Rejected All</v>
      </c>
      <c r="L66" s="1" t="str">
        <f>"42137"</f>
        <v>42137</v>
      </c>
      <c r="M66" s="1" t="str">
        <f>"39"</f>
        <v>39</v>
      </c>
      <c r="N66" s="1" t="str">
        <f>"being detrimental to security for the following reason:"</f>
        <v>being detrimental to security for the following reason:</v>
      </c>
    </row>
    <row r="67" ht="14.25" customHeight="1">
      <c r="A67" s="1" t="str">
        <f>"The Sinners Club"</f>
        <v>The Sinners Club</v>
      </c>
      <c r="B67" s="1" t="str">
        <f t="shared" si="64"/>
        <v>0</v>
      </c>
      <c r="C67" s="1" t="str">
        <f t="shared" si="65"/>
        <v>n/a</v>
      </c>
      <c r="D67" s="1" t="str">
        <f>"Kate Pearce"</f>
        <v>Kate Pearce</v>
      </c>
      <c r="E67" s="1" t="str">
        <f t="shared" si="66"/>
        <v>31</v>
      </c>
      <c r="F67" s="1" t="str">
        <f t="shared" si="67"/>
        <v>Book</v>
      </c>
      <c r="G67" s="1" t="str">
        <f>"41786"</f>
        <v>41786</v>
      </c>
      <c r="H67" s="1" t="str">
        <f t="shared" si="68"/>
        <v>2020-05-19</v>
      </c>
      <c r="I67" s="1" t="str">
        <f t="shared" si="6"/>
        <v>2</v>
      </c>
      <c r="J67" s="1" t="str">
        <f t="shared" si="7"/>
        <v>Rejected All</v>
      </c>
      <c r="L67" s="1" t="str">
        <f>"42145"</f>
        <v>42145</v>
      </c>
      <c r="M67" s="1" t="str">
        <f>"43"</f>
        <v>43</v>
      </c>
      <c r="N67" s="1" t="str">
        <f>"containing written sexually explicit / sado-masochistic behavior"</f>
        <v>containing written sexually explicit / sado-masochistic behavior</v>
      </c>
    </row>
    <row r="68" ht="14.25" customHeight="1">
      <c r="A68" s="1" t="str">
        <f>"How To Jiu Jitsu For Beginners"</f>
        <v>How To Jiu Jitsu For Beginners</v>
      </c>
      <c r="B68" s="1" t="str">
        <f t="shared" si="64"/>
        <v>0</v>
      </c>
      <c r="C68" s="1" t="str">
        <f t="shared" si="65"/>
        <v>n/a</v>
      </c>
      <c r="D68" s="1" t="str">
        <f>"Nathan Demetz"</f>
        <v>Nathan Demetz</v>
      </c>
      <c r="E68" s="1" t="str">
        <f t="shared" si="66"/>
        <v>31</v>
      </c>
      <c r="F68" s="1" t="str">
        <f t="shared" si="67"/>
        <v>Book</v>
      </c>
      <c r="G68" s="1" t="str">
        <f>"41801"</f>
        <v>41801</v>
      </c>
      <c r="H68" s="1" t="str">
        <f t="shared" si="68"/>
        <v>2020-05-19</v>
      </c>
      <c r="I68" s="1" t="str">
        <f t="shared" si="6"/>
        <v>2</v>
      </c>
      <c r="J68" s="1" t="str">
        <f t="shared" si="7"/>
        <v>Rejected All</v>
      </c>
      <c r="L68" s="1" t="str">
        <f>"42160"</f>
        <v>42160</v>
      </c>
      <c r="M68" s="1" t="str">
        <f>"40"</f>
        <v>40</v>
      </c>
      <c r="N68" s="1" t="str">
        <f>"describing fighting techniques"</f>
        <v>describing fighting techniques</v>
      </c>
    </row>
    <row r="69" ht="14.25" customHeight="1">
      <c r="A69" s="1" t="str">
        <f>"Ultimate Book of Knots"</f>
        <v>Ultimate Book of Knots</v>
      </c>
      <c r="B69" s="1" t="str">
        <f t="shared" si="64"/>
        <v>0</v>
      </c>
      <c r="C69" s="1" t="str">
        <f t="shared" si="65"/>
        <v>n/a</v>
      </c>
      <c r="D69" s="1" t="str">
        <f>"Geoffrey Budworth"</f>
        <v>Geoffrey Budworth</v>
      </c>
      <c r="E69" s="1" t="str">
        <f t="shared" si="66"/>
        <v>31</v>
      </c>
      <c r="F69" s="1" t="str">
        <f t="shared" si="67"/>
        <v>Book</v>
      </c>
      <c r="G69" s="1" t="str">
        <f>"41822"</f>
        <v>41822</v>
      </c>
      <c r="H69" s="1" t="str">
        <f t="shared" si="68"/>
        <v>2020-05-19</v>
      </c>
      <c r="I69" s="1" t="str">
        <f t="shared" si="6"/>
        <v>2</v>
      </c>
      <c r="J69" s="1" t="str">
        <f t="shared" si="7"/>
        <v>Rejected All</v>
      </c>
      <c r="L69" s="1" t="str">
        <f>"42181"</f>
        <v>42181</v>
      </c>
      <c r="M69" s="1" t="str">
        <f>"39"</f>
        <v>39</v>
      </c>
      <c r="N69" s="1" t="str">
        <f>"being detrimental to security for the following reason:"</f>
        <v>being detrimental to security for the following reason:</v>
      </c>
    </row>
    <row r="70" ht="14.25" customHeight="1">
      <c r="A70" s="1" t="str">
        <f>"Aftermath"</f>
        <v>Aftermath</v>
      </c>
      <c r="B70" s="1" t="str">
        <f t="shared" si="64"/>
        <v>0</v>
      </c>
      <c r="C70" s="1" t="str">
        <f t="shared" si="65"/>
        <v>n/a</v>
      </c>
      <c r="D70" s="1" t="str">
        <f>"Tracy Brown"</f>
        <v>Tracy Brown</v>
      </c>
      <c r="E70" s="1" t="str">
        <f t="shared" si="66"/>
        <v>31</v>
      </c>
      <c r="F70" s="1" t="str">
        <f t="shared" si="67"/>
        <v>Book</v>
      </c>
      <c r="G70" s="1" t="str">
        <f>"41849"</f>
        <v>41849</v>
      </c>
      <c r="H70" s="1" t="str">
        <f t="shared" si="68"/>
        <v>2020-05-19</v>
      </c>
      <c r="I70" s="1" t="str">
        <f t="shared" si="6"/>
        <v>2</v>
      </c>
      <c r="J70" s="1" t="str">
        <f t="shared" si="7"/>
        <v>Rejected All</v>
      </c>
      <c r="L70" s="1" t="str">
        <f>"42208"</f>
        <v>42208</v>
      </c>
      <c r="M70" s="1" t="str">
        <f t="shared" ref="M70:M71" si="69">"45"</f>
        <v>45</v>
      </c>
      <c r="N70" s="1" t="str">
        <f t="shared" ref="N70:N71" si="70">"containing written sexually explicit material involving minors"</f>
        <v>containing written sexually explicit material involving minors</v>
      </c>
    </row>
    <row r="71" ht="14.25" customHeight="1">
      <c r="A71" s="1" t="str">
        <f>"The Family Next Door"</f>
        <v>The Family Next Door</v>
      </c>
      <c r="B71" s="1" t="str">
        <f t="shared" si="64"/>
        <v>0</v>
      </c>
      <c r="C71" s="1" t="str">
        <f t="shared" si="65"/>
        <v>n/a</v>
      </c>
      <c r="D71" s="1" t="str">
        <f>"John Glatt"</f>
        <v>John Glatt</v>
      </c>
      <c r="E71" s="1" t="str">
        <f t="shared" si="66"/>
        <v>31</v>
      </c>
      <c r="F71" s="1" t="str">
        <f t="shared" si="67"/>
        <v>Book</v>
      </c>
      <c r="G71" s="1" t="str">
        <f>"41851"</f>
        <v>41851</v>
      </c>
      <c r="H71" s="1" t="str">
        <f t="shared" si="68"/>
        <v>2020-05-19</v>
      </c>
      <c r="I71" s="1" t="str">
        <f t="shared" si="6"/>
        <v>2</v>
      </c>
      <c r="J71" s="1" t="str">
        <f t="shared" si="7"/>
        <v>Rejected All</v>
      </c>
      <c r="L71" s="1" t="str">
        <f>"42210"</f>
        <v>42210</v>
      </c>
      <c r="M71" s="1" t="str">
        <f t="shared" si="69"/>
        <v>45</v>
      </c>
      <c r="N71" s="1" t="str">
        <f t="shared" si="70"/>
        <v>containing written sexually explicit material involving minors</v>
      </c>
    </row>
    <row r="72" ht="14.25" customHeight="1">
      <c r="A72" s="1" t="str">
        <f>"The Hot House: Life Inside Leavenworth Prison"</f>
        <v>The Hot House: Life Inside Leavenworth Prison</v>
      </c>
      <c r="B72" s="1" t="str">
        <f t="shared" si="64"/>
        <v>0</v>
      </c>
      <c r="C72" s="1" t="str">
        <f t="shared" si="65"/>
        <v>n/a</v>
      </c>
      <c r="D72" s="1" t="str">
        <f>"Pete Earley"</f>
        <v>Pete Earley</v>
      </c>
      <c r="E72" s="1" t="str">
        <f t="shared" si="66"/>
        <v>31</v>
      </c>
      <c r="F72" s="1" t="str">
        <f t="shared" si="67"/>
        <v>Book</v>
      </c>
      <c r="G72" s="1" t="str">
        <f>"41856"</f>
        <v>41856</v>
      </c>
      <c r="H72" s="1" t="str">
        <f t="shared" si="68"/>
        <v>2020-05-19</v>
      </c>
      <c r="I72" s="1" t="str">
        <f t="shared" si="6"/>
        <v>2</v>
      </c>
      <c r="J72" s="1" t="str">
        <f t="shared" si="7"/>
        <v>Rejected All</v>
      </c>
      <c r="L72" s="1" t="str">
        <f>"42215"</f>
        <v>42215</v>
      </c>
      <c r="M72" s="1" t="str">
        <f>"10"</f>
        <v>10</v>
      </c>
      <c r="N72" s="1" t="str">
        <f>"encouraging or instructing on the commision of criminal activity"</f>
        <v>encouraging or instructing on the commision of criminal activity</v>
      </c>
    </row>
    <row r="73" ht="14.25" customHeight="1">
      <c r="A73" s="1" t="str">
        <f>"Knots &amp;amp; Ropes for Climbers"</f>
        <v>Knots &amp;amp; Ropes for Climbers</v>
      </c>
      <c r="B73" s="1" t="str">
        <f t="shared" si="64"/>
        <v>0</v>
      </c>
      <c r="C73" s="1" t="str">
        <f t="shared" si="65"/>
        <v>n/a</v>
      </c>
      <c r="D73" s="1" t="str">
        <f>"Duane Raleigh"</f>
        <v>Duane Raleigh</v>
      </c>
      <c r="E73" s="1" t="str">
        <f t="shared" si="66"/>
        <v>31</v>
      </c>
      <c r="F73" s="1" t="str">
        <f t="shared" si="67"/>
        <v>Book</v>
      </c>
      <c r="G73" s="1" t="str">
        <f>"41869"</f>
        <v>41869</v>
      </c>
      <c r="H73" s="1" t="str">
        <f t="shared" si="68"/>
        <v>2020-05-19</v>
      </c>
      <c r="I73" s="1" t="str">
        <f t="shared" si="6"/>
        <v>2</v>
      </c>
      <c r="J73" s="1" t="str">
        <f t="shared" si="7"/>
        <v>Rejected All</v>
      </c>
      <c r="L73" s="1" t="str">
        <f>"42228"</f>
        <v>42228</v>
      </c>
      <c r="M73" s="1" t="str">
        <f>"39"</f>
        <v>39</v>
      </c>
      <c r="N73" s="1" t="str">
        <f>"being detrimental to security for the following reason:"</f>
        <v>being detrimental to security for the following reason:</v>
      </c>
    </row>
    <row r="74" ht="14.25" customHeight="1">
      <c r="A74" s="1" t="str">
        <f>"The Black Book"</f>
        <v>The Black Book</v>
      </c>
      <c r="B74" s="1" t="str">
        <f t="shared" si="64"/>
        <v>0</v>
      </c>
      <c r="C74" s="1" t="str">
        <f t="shared" si="65"/>
        <v>n/a</v>
      </c>
      <c r="D74" s="1" t="str">
        <f>"Doll"</f>
        <v>Doll</v>
      </c>
      <c r="E74" s="1" t="str">
        <f t="shared" si="66"/>
        <v>31</v>
      </c>
      <c r="F74" s="1" t="str">
        <f t="shared" si="67"/>
        <v>Book</v>
      </c>
      <c r="G74" s="1" t="str">
        <f>"41896"</f>
        <v>41896</v>
      </c>
      <c r="H74" s="1" t="str">
        <f t="shared" si="68"/>
        <v>2020-05-19</v>
      </c>
      <c r="I74" s="1" t="str">
        <f t="shared" si="6"/>
        <v>2</v>
      </c>
      <c r="J74" s="1" t="str">
        <f t="shared" si="7"/>
        <v>Rejected All</v>
      </c>
      <c r="L74" s="1" t="str">
        <f>"42255"</f>
        <v>42255</v>
      </c>
      <c r="M74" s="1" t="str">
        <f>"42"</f>
        <v>42</v>
      </c>
      <c r="N74" s="1" t="str">
        <f>"containing pictorially explicit nudity"</f>
        <v>containing pictorially explicit nudity</v>
      </c>
    </row>
    <row r="75" ht="14.25" customHeight="1">
      <c r="A75" s="1" t="str">
        <f>"Survive Anywhere: How to thrive in any Environment"</f>
        <v>Survive Anywhere: How to thrive in any Environment</v>
      </c>
      <c r="B75" s="1" t="str">
        <f>"3596"</f>
        <v>3596</v>
      </c>
      <c r="C75" s="1" t="str">
        <f>"Special Edition"</f>
        <v>Special Edition</v>
      </c>
      <c r="D75" s="1" t="str">
        <f>"Outdoor Life"</f>
        <v>Outdoor Life</v>
      </c>
      <c r="E75" s="1" t="str">
        <f t="shared" si="66"/>
        <v>31</v>
      </c>
      <c r="F75" s="1" t="str">
        <f t="shared" si="67"/>
        <v>Book</v>
      </c>
      <c r="G75" s="1" t="str">
        <f>"41853"</f>
        <v>41853</v>
      </c>
      <c r="H75" s="1" t="str">
        <f t="shared" si="68"/>
        <v>2020-05-19</v>
      </c>
      <c r="I75" s="1" t="str">
        <f t="shared" si="6"/>
        <v>2</v>
      </c>
      <c r="J75" s="1" t="str">
        <f t="shared" si="7"/>
        <v>Rejected All</v>
      </c>
      <c r="L75" s="1" t="str">
        <f>"42212"</f>
        <v>42212</v>
      </c>
      <c r="M75" s="1" t="str">
        <f>"5"</f>
        <v>5</v>
      </c>
      <c r="N75" s="1" t="str">
        <f>"containing weapon construction procedures"</f>
        <v>containing weapon construction procedures</v>
      </c>
    </row>
    <row r="76" ht="14.25" customHeight="1">
      <c r="A76" s="1" t="str">
        <f>"Fairy Tale 100 Years Quest"</f>
        <v>Fairy Tale 100 Years Quest</v>
      </c>
      <c r="B76" s="1" t="str">
        <f>"4241"</f>
        <v>4241</v>
      </c>
      <c r="C76" s="1" t="str">
        <f>"Vol. 2"</f>
        <v>Vol. 2</v>
      </c>
      <c r="D76" s="1" t="str">
        <f>"Hiro Mashima"</f>
        <v>Hiro Mashima</v>
      </c>
      <c r="E76" s="1" t="str">
        <f t="shared" si="66"/>
        <v>31</v>
      </c>
      <c r="F76" s="1" t="str">
        <f t="shared" si="67"/>
        <v>Book</v>
      </c>
      <c r="G76" s="1" t="str">
        <f>"41854"</f>
        <v>41854</v>
      </c>
      <c r="H76" s="1" t="str">
        <f t="shared" si="68"/>
        <v>2020-05-19</v>
      </c>
      <c r="I76" s="1" t="str">
        <f t="shared" si="6"/>
        <v>2</v>
      </c>
      <c r="J76" s="1" t="str">
        <f t="shared" si="7"/>
        <v>Rejected All</v>
      </c>
      <c r="L76" s="1" t="str">
        <f>"42213"</f>
        <v>42213</v>
      </c>
      <c r="M76" s="1" t="str">
        <f>"43"</f>
        <v>43</v>
      </c>
      <c r="N76" s="1" t="str">
        <f>"containing written sexually explicit / sado-masochistic behavior"</f>
        <v>containing written sexually explicit / sado-masochistic behavior</v>
      </c>
    </row>
    <row r="77" ht="14.25" customHeight="1">
      <c r="A77" s="1" t="str">
        <f>"Aho-Girl"</f>
        <v>Aho-Girl</v>
      </c>
      <c r="B77" s="1" t="str">
        <f>"4353"</f>
        <v>4353</v>
      </c>
      <c r="C77" s="1" t="str">
        <f>"Vol. 6"</f>
        <v>Vol. 6</v>
      </c>
      <c r="D77" s="1" t="str">
        <f>"Hiroyuki"</f>
        <v>Hiroyuki</v>
      </c>
      <c r="E77" s="1" t="str">
        <f t="shared" si="66"/>
        <v>31</v>
      </c>
      <c r="F77" s="1" t="str">
        <f t="shared" si="67"/>
        <v>Book</v>
      </c>
      <c r="G77" s="1" t="str">
        <f>"41866"</f>
        <v>41866</v>
      </c>
      <c r="H77" s="1" t="str">
        <f t="shared" si="68"/>
        <v>2020-05-19</v>
      </c>
      <c r="I77" s="1" t="str">
        <f t="shared" si="6"/>
        <v>2</v>
      </c>
      <c r="J77" s="1" t="str">
        <f t="shared" si="7"/>
        <v>Rejected All</v>
      </c>
      <c r="L77" s="1" t="str">
        <f>"42225"</f>
        <v>42225</v>
      </c>
      <c r="M77" s="1" t="str">
        <f>"45"</f>
        <v>45</v>
      </c>
      <c r="N77" s="1" t="str">
        <f>"containing written sexually explicit material involving minors"</f>
        <v>containing written sexually explicit material involving minors</v>
      </c>
    </row>
    <row r="78" ht="14.25" customHeight="1">
      <c r="A78" s="1" t="str">
        <f>"Prison School"</f>
        <v>Prison School</v>
      </c>
      <c r="B78" s="1" t="str">
        <f>"7696"</f>
        <v>7696</v>
      </c>
      <c r="C78" s="1" t="str">
        <f>"Vol. 9"</f>
        <v>Vol. 9</v>
      </c>
      <c r="D78" s="1" t="str">
        <f>"Akira Hiramoto"</f>
        <v>Akira Hiramoto</v>
      </c>
      <c r="E78" s="1" t="str">
        <f t="shared" si="66"/>
        <v>31</v>
      </c>
      <c r="F78" s="1" t="str">
        <f t="shared" si="67"/>
        <v>Book</v>
      </c>
      <c r="G78" s="1" t="str">
        <f>"41846"</f>
        <v>41846</v>
      </c>
      <c r="H78" s="1" t="str">
        <f t="shared" si="68"/>
        <v>2020-05-19</v>
      </c>
      <c r="I78" s="1" t="str">
        <f t="shared" si="6"/>
        <v>2</v>
      </c>
      <c r="J78" s="1" t="str">
        <f t="shared" si="7"/>
        <v>Rejected All</v>
      </c>
      <c r="L78" s="1" t="str">
        <f>"42205"</f>
        <v>42205</v>
      </c>
      <c r="M78" s="1" t="str">
        <f t="shared" ref="M78:M79" si="71">"42"</f>
        <v>42</v>
      </c>
      <c r="N78" s="1" t="str">
        <f t="shared" ref="N78:N79" si="72">"containing pictorially explicit nudity"</f>
        <v>containing pictorially explicit nudity</v>
      </c>
    </row>
    <row r="79" ht="14.25" customHeight="1">
      <c r="A79" s="1" t="str">
        <f>"Easy Riders"</f>
        <v>Easy Riders</v>
      </c>
      <c r="B79" s="1" t="str">
        <f>"8630"</f>
        <v>8630</v>
      </c>
      <c r="C79" s="1" t="str">
        <f>"May 2019 Issue 550"</f>
        <v>May 2019 Issue 550</v>
      </c>
      <c r="E79" s="1" t="str">
        <f t="shared" ref="E79:E80" si="73">"32"</f>
        <v>32</v>
      </c>
      <c r="F79" s="1" t="str">
        <f t="shared" ref="F79:F80" si="74">"Magazine/Newspaper"</f>
        <v>Magazine/Newspaper</v>
      </c>
      <c r="G79" s="1" t="str">
        <f>"41886"</f>
        <v>41886</v>
      </c>
      <c r="H79" s="1" t="str">
        <f t="shared" si="68"/>
        <v>2020-05-19</v>
      </c>
      <c r="I79" s="1" t="str">
        <f t="shared" si="6"/>
        <v>2</v>
      </c>
      <c r="J79" s="1" t="str">
        <f t="shared" si="7"/>
        <v>Rejected All</v>
      </c>
      <c r="L79" s="1" t="str">
        <f>"42245"</f>
        <v>42245</v>
      </c>
      <c r="M79" s="1" t="str">
        <f t="shared" si="71"/>
        <v>42</v>
      </c>
      <c r="N79" s="1" t="str">
        <f t="shared" si="72"/>
        <v>containing pictorially explicit nudity</v>
      </c>
    </row>
    <row r="80" ht="14.25" customHeight="1">
      <c r="A80" s="1" t="str">
        <f>"F.E.D.S."</f>
        <v>F.E.D.S.</v>
      </c>
      <c r="B80" s="1" t="str">
        <f>"8631"</f>
        <v>8631</v>
      </c>
      <c r="C80" s="1" t="str">
        <f>"Vol. 10 Iss #42"</f>
        <v>Vol. 10 Iss #42</v>
      </c>
      <c r="E80" s="1" t="str">
        <f t="shared" si="73"/>
        <v>32</v>
      </c>
      <c r="F80" s="1" t="str">
        <f t="shared" si="74"/>
        <v>Magazine/Newspaper</v>
      </c>
      <c r="G80" s="1" t="str">
        <f>"41888"</f>
        <v>41888</v>
      </c>
      <c r="H80" s="1" t="str">
        <f t="shared" si="68"/>
        <v>2020-05-19</v>
      </c>
      <c r="I80" s="1" t="str">
        <f t="shared" si="6"/>
        <v>2</v>
      </c>
      <c r="J80" s="1" t="str">
        <f t="shared" si="7"/>
        <v>Rejected All</v>
      </c>
      <c r="L80" s="1" t="str">
        <f>"42247"</f>
        <v>42247</v>
      </c>
      <c r="M80" s="1" t="str">
        <f>"47"</f>
        <v>47</v>
      </c>
      <c r="N80" s="1" t="str">
        <f>"containing descriptions of security risk group material or activity"</f>
        <v>containing descriptions of security risk group material or activity</v>
      </c>
    </row>
    <row r="81" ht="14.25" customHeight="1">
      <c r="A81" s="1" t="str">
        <f>"The Marijuana Grower&amp;#39;s Handbook"</f>
        <v>The Marijuana Grower&amp;#39;s Handbook</v>
      </c>
      <c r="B81" s="1" t="str">
        <f t="shared" ref="B81:B86" si="75">"0"</f>
        <v>0</v>
      </c>
      <c r="C81" s="1" t="str">
        <f t="shared" ref="C81:C86" si="76">"n/a"</f>
        <v>n/a</v>
      </c>
      <c r="D81" s="1" t="str">
        <f>"Tommy McCarthy"</f>
        <v>Tommy McCarthy</v>
      </c>
      <c r="E81" s="1" t="str">
        <f t="shared" ref="E81:E109" si="77">"31"</f>
        <v>31</v>
      </c>
      <c r="F81" s="1" t="str">
        <f t="shared" ref="F81:F109" si="78">"Book"</f>
        <v>Book</v>
      </c>
      <c r="G81" s="1" t="str">
        <f>"41909"</f>
        <v>41909</v>
      </c>
      <c r="H81" s="1" t="str">
        <f t="shared" ref="H81:H86" si="79">"2020-06-02"</f>
        <v>2020-06-02</v>
      </c>
      <c r="I81" s="1" t="str">
        <f t="shared" si="6"/>
        <v>2</v>
      </c>
      <c r="J81" s="1" t="str">
        <f t="shared" si="7"/>
        <v>Rejected All</v>
      </c>
      <c r="L81" s="1" t="str">
        <f>"42272"</f>
        <v>42272</v>
      </c>
      <c r="M81" s="1" t="str">
        <f t="shared" ref="M81:M82" si="80">"7"</f>
        <v>7</v>
      </c>
      <c r="N81" s="1" t="str">
        <f t="shared" ref="N81:N82" si="81">"describing procedures to brew alcohol or manufacture drugs"</f>
        <v>describing procedures to brew alcohol or manufacture drugs</v>
      </c>
    </row>
    <row r="82" ht="14.25" customHeight="1">
      <c r="A82" s="1" t="str">
        <f>"The Cannabis Grow Bible: The Definitive Guide to Growing Marijuana for Recreational and Medicinal Use"</f>
        <v>The Cannabis Grow Bible: The Definitive Guide to Growing Marijuana for Recreational and Medicinal Use</v>
      </c>
      <c r="B82" s="1" t="str">
        <f t="shared" si="75"/>
        <v>0</v>
      </c>
      <c r="C82" s="1" t="str">
        <f t="shared" si="76"/>
        <v>n/a</v>
      </c>
      <c r="D82" s="1" t="str">
        <f>"Greg Green"</f>
        <v>Greg Green</v>
      </c>
      <c r="E82" s="1" t="str">
        <f t="shared" si="77"/>
        <v>31</v>
      </c>
      <c r="F82" s="1" t="str">
        <f t="shared" si="78"/>
        <v>Book</v>
      </c>
      <c r="G82" s="1" t="str">
        <f>"41910"</f>
        <v>41910</v>
      </c>
      <c r="H82" s="1" t="str">
        <f t="shared" si="79"/>
        <v>2020-06-02</v>
      </c>
      <c r="I82" s="1" t="str">
        <f t="shared" si="6"/>
        <v>2</v>
      </c>
      <c r="J82" s="1" t="str">
        <f t="shared" si="7"/>
        <v>Rejected All</v>
      </c>
      <c r="L82" s="1" t="str">
        <f>"42273"</f>
        <v>42273</v>
      </c>
      <c r="M82" s="1" t="str">
        <f t="shared" si="80"/>
        <v>7</v>
      </c>
      <c r="N82" s="1" t="str">
        <f t="shared" si="81"/>
        <v>describing procedures to brew alcohol or manufacture drugs</v>
      </c>
    </row>
    <row r="83" ht="14.25" customHeight="1">
      <c r="A83" s="1" t="str">
        <f>"Seven Years Dead"</f>
        <v>Seven Years Dead</v>
      </c>
      <c r="B83" s="1" t="str">
        <f t="shared" si="75"/>
        <v>0</v>
      </c>
      <c r="C83" s="1" t="str">
        <f t="shared" si="76"/>
        <v>n/a</v>
      </c>
      <c r="D83" s="1" t="str">
        <f>"Chuck Driskell"</f>
        <v>Chuck Driskell</v>
      </c>
      <c r="E83" s="1" t="str">
        <f t="shared" si="77"/>
        <v>31</v>
      </c>
      <c r="F83" s="1" t="str">
        <f t="shared" si="78"/>
        <v>Book</v>
      </c>
      <c r="G83" s="1" t="str">
        <f>"41913"</f>
        <v>41913</v>
      </c>
      <c r="H83" s="1" t="str">
        <f t="shared" si="79"/>
        <v>2020-06-02</v>
      </c>
      <c r="I83" s="1" t="str">
        <f t="shared" si="6"/>
        <v>2</v>
      </c>
      <c r="J83" s="1" t="str">
        <f t="shared" si="7"/>
        <v>Rejected All</v>
      </c>
      <c r="L83" s="1" t="str">
        <f>"42276"</f>
        <v>42276</v>
      </c>
      <c r="M83" s="1" t="str">
        <f>"47"</f>
        <v>47</v>
      </c>
      <c r="N83" s="1" t="str">
        <f>"containing descriptions of security risk group material or activity"</f>
        <v>containing descriptions of security risk group material or activity</v>
      </c>
    </row>
    <row r="84" ht="14.25" customHeight="1">
      <c r="A84" s="1" t="str">
        <f>"Visions of Erotica"</f>
        <v>Visions of Erotica</v>
      </c>
      <c r="B84" s="1" t="str">
        <f t="shared" si="75"/>
        <v>0</v>
      </c>
      <c r="C84" s="1" t="str">
        <f t="shared" si="76"/>
        <v>n/a</v>
      </c>
      <c r="D84" s="1" t="str">
        <f>"Miss Naomi"</f>
        <v>Miss Naomi</v>
      </c>
      <c r="E84" s="1" t="str">
        <f t="shared" si="77"/>
        <v>31</v>
      </c>
      <c r="F84" s="1" t="str">
        <f t="shared" si="78"/>
        <v>Book</v>
      </c>
      <c r="G84" s="1" t="str">
        <f>"41917"</f>
        <v>41917</v>
      </c>
      <c r="H84" s="1" t="str">
        <f t="shared" si="79"/>
        <v>2020-06-02</v>
      </c>
      <c r="I84" s="1" t="str">
        <f t="shared" si="6"/>
        <v>2</v>
      </c>
      <c r="J84" s="1" t="str">
        <f t="shared" si="7"/>
        <v>Rejected All</v>
      </c>
      <c r="L84" s="1" t="str">
        <f>"42280"</f>
        <v>42280</v>
      </c>
      <c r="M84" s="1" t="str">
        <f>"41"</f>
        <v>41</v>
      </c>
      <c r="N84" s="1" t="str">
        <f>"containing pictorially explicit sexual activity"</f>
        <v>containing pictorially explicit sexual activity</v>
      </c>
    </row>
    <row r="85" ht="14.25" customHeight="1">
      <c r="A85" s="1" t="str">
        <f>"A Treacherous Hustle"</f>
        <v>A Treacherous Hustle</v>
      </c>
      <c r="B85" s="1" t="str">
        <f t="shared" si="75"/>
        <v>0</v>
      </c>
      <c r="C85" s="1" t="str">
        <f t="shared" si="76"/>
        <v>n/a</v>
      </c>
      <c r="D85" s="1" t="str">
        <f>"Serenill Hall"</f>
        <v>Serenill Hall</v>
      </c>
      <c r="E85" s="1" t="str">
        <f t="shared" si="77"/>
        <v>31</v>
      </c>
      <c r="F85" s="1" t="str">
        <f t="shared" si="78"/>
        <v>Book</v>
      </c>
      <c r="G85" s="1" t="str">
        <f>"41929"</f>
        <v>41929</v>
      </c>
      <c r="H85" s="1" t="str">
        <f t="shared" si="79"/>
        <v>2020-06-02</v>
      </c>
      <c r="I85" s="1" t="str">
        <f t="shared" si="6"/>
        <v>2</v>
      </c>
      <c r="J85" s="1" t="str">
        <f t="shared" si="7"/>
        <v>Rejected All</v>
      </c>
      <c r="L85" s="1" t="str">
        <f>"42292"</f>
        <v>42292</v>
      </c>
      <c r="M85" s="1" t="str">
        <f t="shared" ref="M85:M86" si="82">"45"</f>
        <v>45</v>
      </c>
      <c r="N85" s="1" t="str">
        <f t="shared" ref="N85:N86" si="83">"containing written sexually explicit material involving minors"</f>
        <v>containing written sexually explicit material involving minors</v>
      </c>
    </row>
    <row r="86" ht="14.25" customHeight="1">
      <c r="A86" s="1" t="str">
        <f>"The Most Beautiful Woman in the World"</f>
        <v>The Most Beautiful Woman in the World</v>
      </c>
      <c r="B86" s="1" t="str">
        <f t="shared" si="75"/>
        <v>0</v>
      </c>
      <c r="C86" s="1" t="str">
        <f t="shared" si="76"/>
        <v>n/a</v>
      </c>
      <c r="D86" s="1" t="str">
        <f>"Charles Bukowski"</f>
        <v>Charles Bukowski</v>
      </c>
      <c r="E86" s="1" t="str">
        <f t="shared" si="77"/>
        <v>31</v>
      </c>
      <c r="F86" s="1" t="str">
        <f t="shared" si="78"/>
        <v>Book</v>
      </c>
      <c r="G86" s="1" t="str">
        <f>"41938"</f>
        <v>41938</v>
      </c>
      <c r="H86" s="1" t="str">
        <f t="shared" si="79"/>
        <v>2020-06-02</v>
      </c>
      <c r="I86" s="1" t="str">
        <f t="shared" si="6"/>
        <v>2</v>
      </c>
      <c r="J86" s="1" t="str">
        <f t="shared" si="7"/>
        <v>Rejected All</v>
      </c>
      <c r="L86" s="1" t="str">
        <f>"42301"</f>
        <v>42301</v>
      </c>
      <c r="M86" s="1" t="str">
        <f t="shared" si="82"/>
        <v>45</v>
      </c>
      <c r="N86" s="1" t="str">
        <f t="shared" si="83"/>
        <v>containing written sexually explicit material involving minors</v>
      </c>
    </row>
    <row r="87" ht="14.25" customHeight="1">
      <c r="A87" s="1" t="str">
        <f>"Fury My War Gone By"</f>
        <v>Fury My War Gone By</v>
      </c>
      <c r="B87" s="1" t="str">
        <f>"8649"</f>
        <v>8649</v>
      </c>
      <c r="C87" s="1" t="str">
        <f>"MAX Comics"</f>
        <v>MAX Comics</v>
      </c>
      <c r="D87" s="1" t="str">
        <f>"Ennis Parlove &amp;amp; Parlove"</f>
        <v>Ennis Parlove &amp;amp; Parlove</v>
      </c>
      <c r="E87" s="1" t="str">
        <f t="shared" si="77"/>
        <v>31</v>
      </c>
      <c r="F87" s="1" t="str">
        <f t="shared" si="78"/>
        <v>Book</v>
      </c>
      <c r="G87" s="1" t="str">
        <f>"41950"</f>
        <v>41950</v>
      </c>
      <c r="H87" s="1" t="str">
        <f t="shared" ref="H87:H92" si="84">"2020-06-16"</f>
        <v>2020-06-16</v>
      </c>
      <c r="I87" s="1" t="str">
        <f t="shared" si="6"/>
        <v>2</v>
      </c>
      <c r="J87" s="1" t="str">
        <f t="shared" si="7"/>
        <v>Rejected All</v>
      </c>
      <c r="L87" s="1" t="str">
        <f>"42313"</f>
        <v>42313</v>
      </c>
      <c r="M87" s="1" t="str">
        <f>"46"</f>
        <v>46</v>
      </c>
      <c r="N87" s="1" t="str">
        <f>"containing written sexually explicit material involving the use of force or non-consent"</f>
        <v>containing written sexually explicit material involving the use of force or non-consent</v>
      </c>
    </row>
    <row r="88" ht="14.25" customHeight="1">
      <c r="A88" s="1" t="str">
        <f>"Combat Knives and Knife Combat"</f>
        <v>Combat Knives and Knife Combat</v>
      </c>
      <c r="B88" s="1" t="str">
        <f>"0"</f>
        <v>0</v>
      </c>
      <c r="C88" s="1" t="str">
        <f>"n/a"</f>
        <v>n/a</v>
      </c>
      <c r="D88" s="1" t="str">
        <f>"Delmar Pohl &amp;amp; Jim Wagner"</f>
        <v>Delmar Pohl &amp;amp; Jim Wagner</v>
      </c>
      <c r="E88" s="1" t="str">
        <f t="shared" si="77"/>
        <v>31</v>
      </c>
      <c r="F88" s="1" t="str">
        <f t="shared" si="78"/>
        <v>Book</v>
      </c>
      <c r="G88" s="1" t="str">
        <f>"41977"</f>
        <v>41977</v>
      </c>
      <c r="H88" s="1" t="str">
        <f t="shared" si="84"/>
        <v>2020-06-16</v>
      </c>
      <c r="I88" s="1" t="str">
        <f t="shared" si="6"/>
        <v>2</v>
      </c>
      <c r="J88" s="1" t="str">
        <f t="shared" si="7"/>
        <v>Rejected All</v>
      </c>
      <c r="L88" s="1" t="str">
        <f>"42340"</f>
        <v>42340</v>
      </c>
      <c r="M88" s="1" t="str">
        <f>"40"</f>
        <v>40</v>
      </c>
      <c r="N88" s="1" t="str">
        <f>"describing fighting techniques"</f>
        <v>describing fighting techniques</v>
      </c>
    </row>
    <row r="89" ht="14.25" customHeight="1">
      <c r="A89" s="1" t="str">
        <f>"The Hand Maid&amp;#39;s Tale"</f>
        <v>The Hand Maid&amp;#39;s Tale</v>
      </c>
      <c r="B89" s="1" t="str">
        <f>"8651"</f>
        <v>8651</v>
      </c>
      <c r="C89" s="1" t="str">
        <f>"The Graphic Novel"</f>
        <v>The Graphic Novel</v>
      </c>
      <c r="D89" s="1" t="str">
        <f>"Atwood &amp;amp; Nault"</f>
        <v>Atwood &amp;amp; Nault</v>
      </c>
      <c r="E89" s="1" t="str">
        <f t="shared" si="77"/>
        <v>31</v>
      </c>
      <c r="F89" s="1" t="str">
        <f t="shared" si="78"/>
        <v>Book</v>
      </c>
      <c r="G89" s="1" t="str">
        <f>"41952"</f>
        <v>41952</v>
      </c>
      <c r="H89" s="1" t="str">
        <f t="shared" si="84"/>
        <v>2020-06-16</v>
      </c>
      <c r="I89" s="1" t="str">
        <f t="shared" si="6"/>
        <v>2</v>
      </c>
      <c r="J89" s="1" t="str">
        <f t="shared" si="7"/>
        <v>Rejected All</v>
      </c>
      <c r="L89" s="1" t="str">
        <f>"42315"</f>
        <v>42315</v>
      </c>
      <c r="M89" s="1" t="str">
        <f>"43"</f>
        <v>43</v>
      </c>
      <c r="N89" s="1" t="str">
        <f>"containing written sexually explicit / sado-masochistic behavior"</f>
        <v>containing written sexually explicit / sado-masochistic behavior</v>
      </c>
    </row>
    <row r="90" ht="14.25" customHeight="1">
      <c r="A90" s="1" t="str">
        <f>"Testament of Sister New Devil STORM Rated MATURE"</f>
        <v>Testament of Sister New Devil STORM Rated MATURE</v>
      </c>
      <c r="B90" s="1" t="str">
        <f>"8648"</f>
        <v>8648</v>
      </c>
      <c r="C90" s="1" t="str">
        <f>"Vol. 003"</f>
        <v>Vol. 003</v>
      </c>
      <c r="D90" s="1" t="str">
        <f>"Tetsuto Uesu"</f>
        <v>Tetsuto Uesu</v>
      </c>
      <c r="E90" s="1" t="str">
        <f t="shared" si="77"/>
        <v>31</v>
      </c>
      <c r="F90" s="1" t="str">
        <f t="shared" si="78"/>
        <v>Book</v>
      </c>
      <c r="G90" s="1" t="str">
        <f>"41946"</f>
        <v>41946</v>
      </c>
      <c r="H90" s="1" t="str">
        <f t="shared" si="84"/>
        <v>2020-06-16</v>
      </c>
      <c r="I90" s="1" t="str">
        <f t="shared" si="6"/>
        <v>2</v>
      </c>
      <c r="J90" s="1" t="str">
        <f t="shared" si="7"/>
        <v>Rejected All</v>
      </c>
      <c r="L90" s="1" t="str">
        <f>"42309"</f>
        <v>42309</v>
      </c>
      <c r="M90" s="1" t="str">
        <f>"42"</f>
        <v>42</v>
      </c>
      <c r="N90" s="1" t="str">
        <f>"containing pictorially explicit nudity"</f>
        <v>containing pictorially explicit nudity</v>
      </c>
    </row>
    <row r="91" ht="14.25" customHeight="1">
      <c r="A91" s="1" t="str">
        <f>"Freezing"</f>
        <v>Freezing</v>
      </c>
      <c r="B91" s="1" t="str">
        <f>"8650"</f>
        <v>8650</v>
      </c>
      <c r="C91" s="1" t="str">
        <f>"Vol. 21-22"</f>
        <v>Vol. 21-22</v>
      </c>
      <c r="D91" s="1" t="str">
        <f>"Dall-Young Lim"</f>
        <v>Dall-Young Lim</v>
      </c>
      <c r="E91" s="1" t="str">
        <f t="shared" si="77"/>
        <v>31</v>
      </c>
      <c r="F91" s="1" t="str">
        <f t="shared" si="78"/>
        <v>Book</v>
      </c>
      <c r="G91" s="1" t="str">
        <f>"41951"</f>
        <v>41951</v>
      </c>
      <c r="H91" s="1" t="str">
        <f t="shared" si="84"/>
        <v>2020-06-16</v>
      </c>
      <c r="I91" s="1" t="str">
        <f t="shared" si="6"/>
        <v>2</v>
      </c>
      <c r="J91" s="1" t="str">
        <f t="shared" si="7"/>
        <v>Rejected All</v>
      </c>
      <c r="L91" s="1" t="str">
        <f>"42314"</f>
        <v>42314</v>
      </c>
      <c r="M91" s="1" t="str">
        <f>"45"</f>
        <v>45</v>
      </c>
      <c r="N91" s="1" t="str">
        <f>"containing written sexually explicit material involving minors"</f>
        <v>containing written sexually explicit material involving minors</v>
      </c>
    </row>
    <row r="92" ht="14.25" customHeight="1">
      <c r="A92" s="1" t="str">
        <f>"Akama ga Kill Zero"</f>
        <v>Akama ga Kill Zero</v>
      </c>
      <c r="B92" s="1" t="str">
        <f>"4283"</f>
        <v>4283</v>
      </c>
      <c r="C92" s="1" t="str">
        <f>"Vol. 3"</f>
        <v>Vol. 3</v>
      </c>
      <c r="D92" s="1" t="str">
        <f>"Takahiro &amp;amp; Toru"</f>
        <v>Takahiro &amp;amp; Toru</v>
      </c>
      <c r="E92" s="1" t="str">
        <f t="shared" si="77"/>
        <v>31</v>
      </c>
      <c r="F92" s="1" t="str">
        <f t="shared" si="78"/>
        <v>Book</v>
      </c>
      <c r="G92" s="1" t="str">
        <f>"41953"</f>
        <v>41953</v>
      </c>
      <c r="H92" s="1" t="str">
        <f t="shared" si="84"/>
        <v>2020-06-16</v>
      </c>
      <c r="I92" s="1" t="str">
        <f t="shared" si="6"/>
        <v>2</v>
      </c>
      <c r="J92" s="1" t="str">
        <f t="shared" si="7"/>
        <v>Rejected All</v>
      </c>
      <c r="L92" s="1" t="str">
        <f>"42316"</f>
        <v>42316</v>
      </c>
      <c r="M92" s="1" t="str">
        <f>"43"</f>
        <v>43</v>
      </c>
      <c r="N92" s="1" t="str">
        <f>"containing written sexually explicit / sado-masochistic behavior"</f>
        <v>containing written sexually explicit / sado-masochistic behavior</v>
      </c>
    </row>
    <row r="93" ht="14.25" customHeight="1">
      <c r="A93" s="1" t="str">
        <f t="shared" ref="A93:A94" si="85">"Akira"</f>
        <v>Akira</v>
      </c>
      <c r="B93" s="1" t="str">
        <f>"817"</f>
        <v>817</v>
      </c>
      <c r="C93" s="1" t="str">
        <f>"4"</f>
        <v>4</v>
      </c>
      <c r="D93" s="1" t="str">
        <f t="shared" ref="D93:D94" si="86">"Katsuhiro Otomo"</f>
        <v>Katsuhiro Otomo</v>
      </c>
      <c r="E93" s="1" t="str">
        <f t="shared" si="77"/>
        <v>31</v>
      </c>
      <c r="F93" s="1" t="str">
        <f t="shared" si="78"/>
        <v>Book</v>
      </c>
      <c r="G93" s="1" t="str">
        <f>"42023"</f>
        <v>42023</v>
      </c>
      <c r="H93" s="1" t="str">
        <f t="shared" ref="H93:H111" si="87">"2020-07-07"</f>
        <v>2020-07-07</v>
      </c>
      <c r="I93" s="1" t="str">
        <f t="shared" si="6"/>
        <v>2</v>
      </c>
      <c r="J93" s="1" t="str">
        <f t="shared" si="7"/>
        <v>Rejected All</v>
      </c>
      <c r="L93" s="1" t="str">
        <f>"42386"</f>
        <v>42386</v>
      </c>
      <c r="M93" s="1" t="str">
        <f>"41"</f>
        <v>41</v>
      </c>
      <c r="N93" s="1" t="str">
        <f>"containing pictorially explicit sexual activity"</f>
        <v>containing pictorially explicit sexual activity</v>
      </c>
    </row>
    <row r="94" ht="14.25" customHeight="1">
      <c r="A94" s="1" t="str">
        <f t="shared" si="85"/>
        <v>Akira</v>
      </c>
      <c r="B94" s="1" t="str">
        <f>"7635"</f>
        <v>7635</v>
      </c>
      <c r="C94" s="1" t="str">
        <f>"6"</f>
        <v>6</v>
      </c>
      <c r="D94" s="1" t="str">
        <f t="shared" si="86"/>
        <v>Katsuhiro Otomo</v>
      </c>
      <c r="E94" s="1" t="str">
        <f t="shared" si="77"/>
        <v>31</v>
      </c>
      <c r="F94" s="1" t="str">
        <f t="shared" si="78"/>
        <v>Book</v>
      </c>
      <c r="G94" s="1" t="str">
        <f>"41989"</f>
        <v>41989</v>
      </c>
      <c r="H94" s="1" t="str">
        <f t="shared" si="87"/>
        <v>2020-07-07</v>
      </c>
      <c r="I94" s="1" t="str">
        <f t="shared" si="6"/>
        <v>2</v>
      </c>
      <c r="J94" s="1" t="str">
        <f t="shared" si="7"/>
        <v>Rejected All</v>
      </c>
      <c r="L94" s="1" t="str">
        <f>"42352"</f>
        <v>42352</v>
      </c>
      <c r="M94" s="1" t="str">
        <f>"42"</f>
        <v>42</v>
      </c>
      <c r="N94" s="1" t="str">
        <f>"containing pictorially explicit nudity"</f>
        <v>containing pictorially explicit nudity</v>
      </c>
    </row>
    <row r="95" ht="14.25" customHeight="1">
      <c r="A95" s="1" t="str">
        <f>"Survival Handbook"</f>
        <v>Survival Handbook</v>
      </c>
      <c r="B95" s="1" t="str">
        <f t="shared" ref="B95:B109" si="88">"0"</f>
        <v>0</v>
      </c>
      <c r="C95" s="1" t="str">
        <f t="shared" ref="C95:C109" si="89">"n/a"</f>
        <v>n/a</v>
      </c>
      <c r="D95" s="1" t="str">
        <f>"Marc Sumerak"</f>
        <v>Marc Sumerak</v>
      </c>
      <c r="E95" s="1" t="str">
        <f t="shared" si="77"/>
        <v>31</v>
      </c>
      <c r="F95" s="1" t="str">
        <f t="shared" si="78"/>
        <v>Book</v>
      </c>
      <c r="G95" s="1" t="str">
        <f>"41987"</f>
        <v>41987</v>
      </c>
      <c r="H95" s="1" t="str">
        <f t="shared" si="87"/>
        <v>2020-07-07</v>
      </c>
      <c r="I95" s="1" t="str">
        <f t="shared" si="6"/>
        <v>2</v>
      </c>
      <c r="J95" s="1" t="str">
        <f t="shared" si="7"/>
        <v>Rejected All</v>
      </c>
      <c r="L95" s="1" t="str">
        <f>"42350"</f>
        <v>42350</v>
      </c>
      <c r="M95" s="1" t="str">
        <f>"39"</f>
        <v>39</v>
      </c>
      <c r="N95" s="1" t="str">
        <f>"being detrimental to security for the following reason:"</f>
        <v>being detrimental to security for the following reason:</v>
      </c>
    </row>
    <row r="96" ht="14.25" customHeight="1">
      <c r="A96" s="1" t="str">
        <f>"Absolute 3"</f>
        <v>Absolute 3</v>
      </c>
      <c r="B96" s="1" t="str">
        <f t="shared" si="88"/>
        <v>0</v>
      </c>
      <c r="C96" s="1" t="str">
        <f t="shared" si="89"/>
        <v>n/a</v>
      </c>
      <c r="D96" s="1" t="str">
        <f t="shared" ref="D96:D98" si="90">"Shinichirou Narie"</f>
        <v>Shinichirou Narie</v>
      </c>
      <c r="E96" s="1" t="str">
        <f t="shared" si="77"/>
        <v>31</v>
      </c>
      <c r="F96" s="1" t="str">
        <f t="shared" si="78"/>
        <v>Book</v>
      </c>
      <c r="G96" s="1" t="str">
        <f>"41993"</f>
        <v>41993</v>
      </c>
      <c r="H96" s="1" t="str">
        <f t="shared" si="87"/>
        <v>2020-07-07</v>
      </c>
      <c r="I96" s="1" t="str">
        <f t="shared" si="6"/>
        <v>2</v>
      </c>
      <c r="J96" s="1" t="str">
        <f t="shared" si="7"/>
        <v>Rejected All</v>
      </c>
      <c r="L96" s="1" t="str">
        <f>"42356"</f>
        <v>42356</v>
      </c>
      <c r="M96" s="1" t="str">
        <f t="shared" ref="M96:M98" si="91">"41"</f>
        <v>41</v>
      </c>
      <c r="N96" s="1" t="str">
        <f t="shared" ref="N96:N98" si="92">"containing pictorially explicit sexual activity"</f>
        <v>containing pictorially explicit sexual activity</v>
      </c>
    </row>
    <row r="97" ht="14.25" customHeight="1">
      <c r="A97" s="1" t="str">
        <f>"Absolute Duo 3"</f>
        <v>Absolute Duo 3</v>
      </c>
      <c r="B97" s="1" t="str">
        <f t="shared" si="88"/>
        <v>0</v>
      </c>
      <c r="C97" s="1" t="str">
        <f t="shared" si="89"/>
        <v>n/a</v>
      </c>
      <c r="D97" s="1" t="str">
        <f t="shared" si="90"/>
        <v>Shinichirou Narie</v>
      </c>
      <c r="E97" s="1" t="str">
        <f t="shared" si="77"/>
        <v>31</v>
      </c>
      <c r="F97" s="1" t="str">
        <f t="shared" si="78"/>
        <v>Book</v>
      </c>
      <c r="G97" s="1" t="str">
        <f>"41994"</f>
        <v>41994</v>
      </c>
      <c r="H97" s="1" t="str">
        <f t="shared" si="87"/>
        <v>2020-07-07</v>
      </c>
      <c r="I97" s="1" t="str">
        <f t="shared" si="6"/>
        <v>2</v>
      </c>
      <c r="J97" s="1" t="str">
        <f t="shared" si="7"/>
        <v>Rejected All</v>
      </c>
      <c r="L97" s="1" t="str">
        <f>"42357"</f>
        <v>42357</v>
      </c>
      <c r="M97" s="1" t="str">
        <f t="shared" si="91"/>
        <v>41</v>
      </c>
      <c r="N97" s="1" t="str">
        <f t="shared" si="92"/>
        <v>containing pictorially explicit sexual activity</v>
      </c>
    </row>
    <row r="98" ht="14.25" customHeight="1">
      <c r="A98" s="1" t="str">
        <f>"Absolute Duo 4"</f>
        <v>Absolute Duo 4</v>
      </c>
      <c r="B98" s="1" t="str">
        <f t="shared" si="88"/>
        <v>0</v>
      </c>
      <c r="C98" s="1" t="str">
        <f t="shared" si="89"/>
        <v>n/a</v>
      </c>
      <c r="D98" s="1" t="str">
        <f t="shared" si="90"/>
        <v>Shinichirou Narie</v>
      </c>
      <c r="E98" s="1" t="str">
        <f t="shared" si="77"/>
        <v>31</v>
      </c>
      <c r="F98" s="1" t="str">
        <f t="shared" si="78"/>
        <v>Book</v>
      </c>
      <c r="G98" s="1" t="str">
        <f>"41995"</f>
        <v>41995</v>
      </c>
      <c r="H98" s="1" t="str">
        <f t="shared" si="87"/>
        <v>2020-07-07</v>
      </c>
      <c r="I98" s="1" t="str">
        <f t="shared" si="6"/>
        <v>2</v>
      </c>
      <c r="J98" s="1" t="str">
        <f t="shared" si="7"/>
        <v>Rejected All</v>
      </c>
      <c r="L98" s="1" t="str">
        <f>"42358"</f>
        <v>42358</v>
      </c>
      <c r="M98" s="1" t="str">
        <f t="shared" si="91"/>
        <v>41</v>
      </c>
      <c r="N98" s="1" t="str">
        <f t="shared" si="92"/>
        <v>containing pictorially explicit sexual activity</v>
      </c>
    </row>
    <row r="99" ht="14.25" customHeight="1">
      <c r="A99" s="1" t="str">
        <f>"Ruthless"</f>
        <v>Ruthless</v>
      </c>
      <c r="B99" s="1" t="str">
        <f t="shared" si="88"/>
        <v>0</v>
      </c>
      <c r="C99" s="1" t="str">
        <f t="shared" si="89"/>
        <v>n/a</v>
      </c>
      <c r="D99" s="1" t="str">
        <f>"Cairo"</f>
        <v>Cairo</v>
      </c>
      <c r="E99" s="1" t="str">
        <f t="shared" si="77"/>
        <v>31</v>
      </c>
      <c r="F99" s="1" t="str">
        <f t="shared" si="78"/>
        <v>Book</v>
      </c>
      <c r="G99" s="1" t="str">
        <f>"42012"</f>
        <v>42012</v>
      </c>
      <c r="H99" s="1" t="str">
        <f t="shared" si="87"/>
        <v>2020-07-07</v>
      </c>
      <c r="I99" s="1" t="str">
        <f t="shared" si="6"/>
        <v>2</v>
      </c>
      <c r="J99" s="1" t="str">
        <f t="shared" si="7"/>
        <v>Rejected All</v>
      </c>
      <c r="L99" s="1" t="str">
        <f>"42375"</f>
        <v>42375</v>
      </c>
      <c r="M99" s="1" t="str">
        <f>"43"</f>
        <v>43</v>
      </c>
      <c r="N99" s="1" t="str">
        <f>"containing written sexually explicit / sado-masochistic behavior"</f>
        <v>containing written sexually explicit / sado-masochistic behavior</v>
      </c>
    </row>
    <row r="100" ht="14.25" customHeight="1">
      <c r="A100" s="1" t="str">
        <f>"Neon Genesis Evangelion 01 02 03"</f>
        <v>Neon Genesis Evangelion 01 02 03</v>
      </c>
      <c r="B100" s="1" t="str">
        <f t="shared" si="88"/>
        <v>0</v>
      </c>
      <c r="C100" s="1" t="str">
        <f t="shared" si="89"/>
        <v>n/a</v>
      </c>
      <c r="D100" s="1" t="str">
        <f t="shared" ref="D100:D103" si="93">"Yoshiyuki Sadamoto"</f>
        <v>Yoshiyuki Sadamoto</v>
      </c>
      <c r="E100" s="1" t="str">
        <f t="shared" si="77"/>
        <v>31</v>
      </c>
      <c r="F100" s="1" t="str">
        <f t="shared" si="78"/>
        <v>Book</v>
      </c>
      <c r="G100" s="1" t="str">
        <f>"42025"</f>
        <v>42025</v>
      </c>
      <c r="H100" s="1" t="str">
        <f t="shared" si="87"/>
        <v>2020-07-07</v>
      </c>
      <c r="I100" s="1" t="str">
        <f t="shared" si="6"/>
        <v>2</v>
      </c>
      <c r="J100" s="1" t="str">
        <f t="shared" si="7"/>
        <v>Rejected All</v>
      </c>
      <c r="L100" s="1" t="str">
        <f>"42388"</f>
        <v>42388</v>
      </c>
      <c r="M100" s="1" t="str">
        <f t="shared" ref="M100:M103" si="94">"41"</f>
        <v>41</v>
      </c>
      <c r="N100" s="1" t="str">
        <f t="shared" ref="N100:N103" si="95">"containing pictorially explicit sexual activity"</f>
        <v>containing pictorially explicit sexual activity</v>
      </c>
    </row>
    <row r="101" ht="14.25" customHeight="1">
      <c r="A101" s="1" t="str">
        <f>"Neon Genesis Evangelion 07 08 09"</f>
        <v>Neon Genesis Evangelion 07 08 09</v>
      </c>
      <c r="B101" s="1" t="str">
        <f t="shared" si="88"/>
        <v>0</v>
      </c>
      <c r="C101" s="1" t="str">
        <f t="shared" si="89"/>
        <v>n/a</v>
      </c>
      <c r="D101" s="1" t="str">
        <f t="shared" si="93"/>
        <v>Yoshiyuki Sadamoto</v>
      </c>
      <c r="E101" s="1" t="str">
        <f t="shared" si="77"/>
        <v>31</v>
      </c>
      <c r="F101" s="1" t="str">
        <f t="shared" si="78"/>
        <v>Book</v>
      </c>
      <c r="G101" s="1" t="str">
        <f>"42027"</f>
        <v>42027</v>
      </c>
      <c r="H101" s="1" t="str">
        <f t="shared" si="87"/>
        <v>2020-07-07</v>
      </c>
      <c r="I101" s="1" t="str">
        <f t="shared" si="6"/>
        <v>2</v>
      </c>
      <c r="J101" s="1" t="str">
        <f t="shared" si="7"/>
        <v>Rejected All</v>
      </c>
      <c r="L101" s="1" t="str">
        <f>"42390"</f>
        <v>42390</v>
      </c>
      <c r="M101" s="1" t="str">
        <f t="shared" si="94"/>
        <v>41</v>
      </c>
      <c r="N101" s="1" t="str">
        <f t="shared" si="95"/>
        <v>containing pictorially explicit sexual activity</v>
      </c>
    </row>
    <row r="102" ht="14.25" customHeight="1">
      <c r="A102" s="1" t="str">
        <f>"Neon Genesis Evangelion 10 11 12"</f>
        <v>Neon Genesis Evangelion 10 11 12</v>
      </c>
      <c r="B102" s="1" t="str">
        <f t="shared" si="88"/>
        <v>0</v>
      </c>
      <c r="C102" s="1" t="str">
        <f t="shared" si="89"/>
        <v>n/a</v>
      </c>
      <c r="D102" s="1" t="str">
        <f t="shared" si="93"/>
        <v>Yoshiyuki Sadamoto</v>
      </c>
      <c r="E102" s="1" t="str">
        <f t="shared" si="77"/>
        <v>31</v>
      </c>
      <c r="F102" s="1" t="str">
        <f t="shared" si="78"/>
        <v>Book</v>
      </c>
      <c r="G102" s="1" t="str">
        <f>"42028"</f>
        <v>42028</v>
      </c>
      <c r="H102" s="1" t="str">
        <f t="shared" si="87"/>
        <v>2020-07-07</v>
      </c>
      <c r="I102" s="1" t="str">
        <f t="shared" si="6"/>
        <v>2</v>
      </c>
      <c r="J102" s="1" t="str">
        <f t="shared" si="7"/>
        <v>Rejected All</v>
      </c>
      <c r="L102" s="1" t="str">
        <f>"42391"</f>
        <v>42391</v>
      </c>
      <c r="M102" s="1" t="str">
        <f t="shared" si="94"/>
        <v>41</v>
      </c>
      <c r="N102" s="1" t="str">
        <f t="shared" si="95"/>
        <v>containing pictorially explicit sexual activity</v>
      </c>
    </row>
    <row r="103" ht="14.25" customHeight="1">
      <c r="A103" s="1" t="str">
        <f>"Neon Genesis Evangelion 13 14 End"</f>
        <v>Neon Genesis Evangelion 13 14 End</v>
      </c>
      <c r="B103" s="1" t="str">
        <f t="shared" si="88"/>
        <v>0</v>
      </c>
      <c r="C103" s="1" t="str">
        <f t="shared" si="89"/>
        <v>n/a</v>
      </c>
      <c r="D103" s="1" t="str">
        <f t="shared" si="93"/>
        <v>Yoshiyuki Sadamoto</v>
      </c>
      <c r="E103" s="1" t="str">
        <f t="shared" si="77"/>
        <v>31</v>
      </c>
      <c r="F103" s="1" t="str">
        <f t="shared" si="78"/>
        <v>Book</v>
      </c>
      <c r="G103" s="1" t="str">
        <f>"42029"</f>
        <v>42029</v>
      </c>
      <c r="H103" s="1" t="str">
        <f t="shared" si="87"/>
        <v>2020-07-07</v>
      </c>
      <c r="I103" s="1" t="str">
        <f t="shared" si="6"/>
        <v>2</v>
      </c>
      <c r="J103" s="1" t="str">
        <f t="shared" si="7"/>
        <v>Rejected All</v>
      </c>
      <c r="L103" s="1" t="str">
        <f>"42392"</f>
        <v>42392</v>
      </c>
      <c r="M103" s="1" t="str">
        <f t="shared" si="94"/>
        <v>41</v>
      </c>
      <c r="N103" s="1" t="str">
        <f t="shared" si="95"/>
        <v>containing pictorially explicit sexual activity</v>
      </c>
    </row>
    <row r="104" ht="14.25" customHeight="1">
      <c r="A104" s="1" t="str">
        <f>"Bettie!"</f>
        <v>Bettie!</v>
      </c>
      <c r="B104" s="1" t="str">
        <f t="shared" si="88"/>
        <v>0</v>
      </c>
      <c r="C104" s="1" t="str">
        <f t="shared" si="89"/>
        <v>n/a</v>
      </c>
      <c r="D104" s="1" t="str">
        <f>"Irving Klaw"</f>
        <v>Irving Klaw</v>
      </c>
      <c r="E104" s="1" t="str">
        <f t="shared" si="77"/>
        <v>31</v>
      </c>
      <c r="F104" s="1" t="str">
        <f t="shared" si="78"/>
        <v>Book</v>
      </c>
      <c r="G104" s="1" t="str">
        <f>"42069"</f>
        <v>42069</v>
      </c>
      <c r="H104" s="1" t="str">
        <f t="shared" si="87"/>
        <v>2020-07-07</v>
      </c>
      <c r="I104" s="1" t="str">
        <f t="shared" si="6"/>
        <v>2</v>
      </c>
      <c r="J104" s="1" t="str">
        <f t="shared" si="7"/>
        <v>Rejected All</v>
      </c>
      <c r="L104" s="1" t="str">
        <f>"42431"</f>
        <v>42431</v>
      </c>
      <c r="M104" s="1" t="str">
        <f>"43"</f>
        <v>43</v>
      </c>
      <c r="N104" s="1" t="str">
        <f>"containing written sexually explicit / sado-masochistic behavior"</f>
        <v>containing written sexually explicit / sado-masochistic behavior</v>
      </c>
    </row>
    <row r="105" ht="14.25" customHeight="1">
      <c r="A105" s="1" t="str">
        <f>"Freedom is More Than Just a 7 Letter Word"</f>
        <v>Freedom is More Than Just a 7 Letter Word</v>
      </c>
      <c r="B105" s="1" t="str">
        <f t="shared" si="88"/>
        <v>0</v>
      </c>
      <c r="C105" s="1" t="str">
        <f t="shared" si="89"/>
        <v>n/a</v>
      </c>
      <c r="D105" s="1" t="str">
        <f>"Veronica of the Chapman Family"</f>
        <v>Veronica of the Chapman Family</v>
      </c>
      <c r="E105" s="1" t="str">
        <f t="shared" si="77"/>
        <v>31</v>
      </c>
      <c r="F105" s="1" t="str">
        <f t="shared" si="78"/>
        <v>Book</v>
      </c>
      <c r="G105" s="1" t="str">
        <f>"42070"</f>
        <v>42070</v>
      </c>
      <c r="H105" s="1" t="str">
        <f t="shared" si="87"/>
        <v>2020-07-07</v>
      </c>
      <c r="I105" s="1" t="str">
        <f t="shared" si="6"/>
        <v>2</v>
      </c>
      <c r="J105" s="1" t="str">
        <f t="shared" si="7"/>
        <v>Rejected All</v>
      </c>
      <c r="L105" s="1" t="str">
        <f>"42432"</f>
        <v>42432</v>
      </c>
      <c r="M105" s="1" t="str">
        <f>"50"</f>
        <v>50</v>
      </c>
      <c r="N105" s="1" t="str">
        <f>"containing material influenced by &amp;quot;sovereign citizen&amp;quot; ideology"</f>
        <v>containing material influenced by &amp;quot;sovereign citizen&amp;quot; ideology</v>
      </c>
    </row>
    <row r="106" ht="14.25" customHeight="1">
      <c r="A106" s="1" t="str">
        <f>"Total Knockout Fitness"</f>
        <v>Total Knockout Fitness</v>
      </c>
      <c r="B106" s="1" t="str">
        <f t="shared" si="88"/>
        <v>0</v>
      </c>
      <c r="C106" s="1" t="str">
        <f t="shared" si="89"/>
        <v>n/a</v>
      </c>
      <c r="D106" s="1" t="str">
        <f>"Martin McKenzie"</f>
        <v>Martin McKenzie</v>
      </c>
      <c r="E106" s="1" t="str">
        <f t="shared" si="77"/>
        <v>31</v>
      </c>
      <c r="F106" s="1" t="str">
        <f t="shared" si="78"/>
        <v>Book</v>
      </c>
      <c r="G106" s="1" t="str">
        <f>"42079"</f>
        <v>42079</v>
      </c>
      <c r="H106" s="1" t="str">
        <f t="shared" si="87"/>
        <v>2020-07-07</v>
      </c>
      <c r="I106" s="1" t="str">
        <f t="shared" si="6"/>
        <v>2</v>
      </c>
      <c r="J106" s="1" t="str">
        <f t="shared" si="7"/>
        <v>Rejected All</v>
      </c>
      <c r="L106" s="1" t="str">
        <f>"42442"</f>
        <v>42442</v>
      </c>
      <c r="M106" s="1" t="str">
        <f>"40"</f>
        <v>40</v>
      </c>
      <c r="N106" s="1" t="str">
        <f>"describing fighting techniques"</f>
        <v>describing fighting techniques</v>
      </c>
    </row>
    <row r="107" ht="14.25" customHeight="1">
      <c r="A107" s="1" t="str">
        <f>"The Big Black Book of Sex Positions"</f>
        <v>The Big Black Book of Sex Positions</v>
      </c>
      <c r="B107" s="1" t="str">
        <f t="shared" si="88"/>
        <v>0</v>
      </c>
      <c r="C107" s="1" t="str">
        <f t="shared" si="89"/>
        <v>n/a</v>
      </c>
      <c r="D107" s="1" t="str">
        <f>"Jennifer Baritchi"</f>
        <v>Jennifer Baritchi</v>
      </c>
      <c r="E107" s="1" t="str">
        <f t="shared" si="77"/>
        <v>31</v>
      </c>
      <c r="F107" s="1" t="str">
        <f t="shared" si="78"/>
        <v>Book</v>
      </c>
      <c r="G107" s="1" t="str">
        <f>"42081"</f>
        <v>42081</v>
      </c>
      <c r="H107" s="1" t="str">
        <f t="shared" si="87"/>
        <v>2020-07-07</v>
      </c>
      <c r="I107" s="1" t="str">
        <f t="shared" si="6"/>
        <v>2</v>
      </c>
      <c r="J107" s="1" t="str">
        <f t="shared" si="7"/>
        <v>Rejected All</v>
      </c>
      <c r="L107" s="1" t="str">
        <f>"42444"</f>
        <v>42444</v>
      </c>
      <c r="M107" s="1" t="str">
        <f>"41"</f>
        <v>41</v>
      </c>
      <c r="N107" s="1" t="str">
        <f>"containing pictorially explicit sexual activity"</f>
        <v>containing pictorially explicit sexual activity</v>
      </c>
    </row>
    <row r="108" ht="14.25" customHeight="1">
      <c r="A108" s="1" t="str">
        <f>"Grandad&amp;#39;s Girl"</f>
        <v>Grandad&amp;#39;s Girl</v>
      </c>
      <c r="B108" s="1" t="str">
        <f t="shared" si="88"/>
        <v>0</v>
      </c>
      <c r="C108" s="1" t="str">
        <f t="shared" si="89"/>
        <v>n/a</v>
      </c>
      <c r="D108" s="1" t="str">
        <f>"Emma Louise"</f>
        <v>Emma Louise</v>
      </c>
      <c r="E108" s="1" t="str">
        <f t="shared" si="77"/>
        <v>31</v>
      </c>
      <c r="F108" s="1" t="str">
        <f t="shared" si="78"/>
        <v>Book</v>
      </c>
      <c r="G108" s="1" t="str">
        <f>"42088"</f>
        <v>42088</v>
      </c>
      <c r="H108" s="1" t="str">
        <f t="shared" si="87"/>
        <v>2020-07-07</v>
      </c>
      <c r="I108" s="1" t="str">
        <f t="shared" si="6"/>
        <v>2</v>
      </c>
      <c r="J108" s="1" t="str">
        <f t="shared" si="7"/>
        <v>Rejected All</v>
      </c>
      <c r="L108" s="1" t="str">
        <f>"42451"</f>
        <v>42451</v>
      </c>
      <c r="M108" s="1" t="str">
        <f>"45"</f>
        <v>45</v>
      </c>
      <c r="N108" s="1" t="str">
        <f>"containing written sexually explicit material involving minors"</f>
        <v>containing written sexually explicit material involving minors</v>
      </c>
    </row>
    <row r="109" ht="14.25" customHeight="1">
      <c r="A109" s="1" t="str">
        <f>"Naughty Bits"</f>
        <v>Naughty Bits</v>
      </c>
      <c r="B109" s="1" t="str">
        <f t="shared" si="88"/>
        <v>0</v>
      </c>
      <c r="C109" s="1" t="str">
        <f t="shared" si="89"/>
        <v>n/a</v>
      </c>
      <c r="D109" s="1" t="str">
        <f>"Joey W. Hill"</f>
        <v>Joey W. Hill</v>
      </c>
      <c r="E109" s="1" t="str">
        <f t="shared" si="77"/>
        <v>31</v>
      </c>
      <c r="F109" s="1" t="str">
        <f t="shared" si="78"/>
        <v>Book</v>
      </c>
      <c r="G109" s="1" t="str">
        <f>"42089"</f>
        <v>42089</v>
      </c>
      <c r="H109" s="1" t="str">
        <f t="shared" si="87"/>
        <v>2020-07-07</v>
      </c>
      <c r="I109" s="1" t="str">
        <f t="shared" si="6"/>
        <v>2</v>
      </c>
      <c r="J109" s="1" t="str">
        <f t="shared" si="7"/>
        <v>Rejected All</v>
      </c>
      <c r="L109" s="1" t="str">
        <f>"42452"</f>
        <v>42452</v>
      </c>
      <c r="M109" s="1" t="str">
        <f>"43"</f>
        <v>43</v>
      </c>
      <c r="N109" s="1" t="str">
        <f>"containing written sexually explicit / sado-masochistic behavior"</f>
        <v>containing written sexually explicit / sado-masochistic behavior</v>
      </c>
    </row>
    <row r="110" ht="14.25" customHeight="1">
      <c r="A110" s="1" t="str">
        <f>"The Backwoodsman"</f>
        <v>The Backwoodsman</v>
      </c>
      <c r="B110" s="1" t="str">
        <f>"8675"</f>
        <v>8675</v>
      </c>
      <c r="C110" s="1" t="str">
        <f>"July/Aug 2020 Vol. 41 No. 4"</f>
        <v>July/Aug 2020 Vol. 41 No. 4</v>
      </c>
      <c r="E110" s="1" t="str">
        <f t="shared" ref="E110:E111" si="96">"32"</f>
        <v>32</v>
      </c>
      <c r="F110" s="1" t="str">
        <f t="shared" ref="F110:F111" si="97">"Magazine/Newspaper"</f>
        <v>Magazine/Newspaper</v>
      </c>
      <c r="G110" s="1" t="str">
        <f>"42082"</f>
        <v>42082</v>
      </c>
      <c r="H110" s="1" t="str">
        <f t="shared" si="87"/>
        <v>2020-07-07</v>
      </c>
      <c r="I110" s="1" t="str">
        <f t="shared" si="6"/>
        <v>2</v>
      </c>
      <c r="J110" s="1" t="str">
        <f t="shared" si="7"/>
        <v>Rejected All</v>
      </c>
      <c r="L110" s="1" t="str">
        <f>"42445"</f>
        <v>42445</v>
      </c>
      <c r="M110" s="1" t="str">
        <f t="shared" ref="M110:M111" si="98">"41"</f>
        <v>41</v>
      </c>
      <c r="N110" s="1" t="str">
        <f t="shared" ref="N110:N111" si="99">"containing pictorially explicit sexual activity"</f>
        <v>containing pictorially explicit sexual activity</v>
      </c>
    </row>
    <row r="111" ht="14.25" customHeight="1">
      <c r="A111" s="1" t="str">
        <f>"Gyro Viral"</f>
        <v>Gyro Viral</v>
      </c>
      <c r="B111" s="1" t="str">
        <f>"4518"</f>
        <v>4518</v>
      </c>
      <c r="C111" s="1" t="str">
        <f>"Volume II"</f>
        <v>Volume II</v>
      </c>
      <c r="E111" s="1" t="str">
        <f t="shared" si="96"/>
        <v>32</v>
      </c>
      <c r="F111" s="1" t="str">
        <f t="shared" si="97"/>
        <v>Magazine/Newspaper</v>
      </c>
      <c r="G111" s="1" t="str">
        <f>"42071"</f>
        <v>42071</v>
      </c>
      <c r="H111" s="1" t="str">
        <f t="shared" si="87"/>
        <v>2020-07-07</v>
      </c>
      <c r="I111" s="1" t="str">
        <f t="shared" si="6"/>
        <v>2</v>
      </c>
      <c r="J111" s="1" t="str">
        <f t="shared" si="7"/>
        <v>Rejected All</v>
      </c>
      <c r="L111" s="1" t="str">
        <f>"42433"</f>
        <v>42433</v>
      </c>
      <c r="M111" s="1" t="str">
        <f t="shared" si="98"/>
        <v>41</v>
      </c>
      <c r="N111" s="1" t="str">
        <f t="shared" si="99"/>
        <v>containing pictorially explicit sexual activity</v>
      </c>
    </row>
    <row r="112" ht="14.25" customHeight="1">
      <c r="A112" s="1" t="str">
        <f>"Magika Swordsman and Summoner"</f>
        <v>Magika Swordsman and Summoner</v>
      </c>
      <c r="B112" s="1" t="str">
        <f>"503"</f>
        <v>503</v>
      </c>
      <c r="C112" s="1" t="str">
        <f>"#7"</f>
        <v>#7</v>
      </c>
      <c r="D112" s="1" t="str">
        <f>"Mitsuki Mihara"</f>
        <v>Mitsuki Mihara</v>
      </c>
      <c r="E112" s="1" t="str">
        <f t="shared" ref="E112:E120" si="100">"31"</f>
        <v>31</v>
      </c>
      <c r="F112" s="1" t="str">
        <f t="shared" ref="F112:F120" si="101">"Book"</f>
        <v>Book</v>
      </c>
      <c r="G112" s="1" t="str">
        <f>"42127"</f>
        <v>42127</v>
      </c>
      <c r="H112" s="1" t="str">
        <f t="shared" ref="H112:H122" si="102">"2020-07-21"</f>
        <v>2020-07-21</v>
      </c>
      <c r="I112" s="1" t="str">
        <f t="shared" si="6"/>
        <v>2</v>
      </c>
      <c r="J112" s="1" t="str">
        <f t="shared" si="7"/>
        <v>Rejected All</v>
      </c>
      <c r="L112" s="1" t="str">
        <f>"42492"</f>
        <v>42492</v>
      </c>
      <c r="M112" s="1" t="str">
        <f t="shared" ref="M112:M113" si="103">"42"</f>
        <v>42</v>
      </c>
      <c r="N112" s="1" t="str">
        <f t="shared" ref="N112:N113" si="104">"containing pictorially explicit nudity"</f>
        <v>containing pictorially explicit nudity</v>
      </c>
    </row>
    <row r="113" ht="14.25" customHeight="1">
      <c r="A113" s="1" t="str">
        <f>"Love in Hell"</f>
        <v>Love in Hell</v>
      </c>
      <c r="B113" s="1" t="str">
        <f>"8686"</f>
        <v>8686</v>
      </c>
      <c r="C113" s="1" t="str">
        <f>"Death Life  #2"</f>
        <v>Death Life  #2</v>
      </c>
      <c r="D113" s="1" t="str">
        <f>"Reiji Suzumaru"</f>
        <v>Reiji Suzumaru</v>
      </c>
      <c r="E113" s="1" t="str">
        <f t="shared" si="100"/>
        <v>31</v>
      </c>
      <c r="F113" s="1" t="str">
        <f t="shared" si="101"/>
        <v>Book</v>
      </c>
      <c r="G113" s="1" t="str">
        <f>"42126"</f>
        <v>42126</v>
      </c>
      <c r="H113" s="1" t="str">
        <f t="shared" si="102"/>
        <v>2020-07-21</v>
      </c>
      <c r="I113" s="1" t="str">
        <f t="shared" si="6"/>
        <v>2</v>
      </c>
      <c r="J113" s="1" t="str">
        <f t="shared" si="7"/>
        <v>Rejected All</v>
      </c>
      <c r="L113" s="1" t="str">
        <f>"42491"</f>
        <v>42491</v>
      </c>
      <c r="M113" s="1" t="str">
        <f t="shared" si="103"/>
        <v>42</v>
      </c>
      <c r="N113" s="1" t="str">
        <f t="shared" si="104"/>
        <v>containing pictorially explicit nudity</v>
      </c>
    </row>
    <row r="114" ht="14.25" customHeight="1">
      <c r="A114" s="1" t="s">
        <v>3</v>
      </c>
      <c r="B114" s="1" t="str">
        <f t="shared" ref="B114:B118" si="105">"0"</f>
        <v>0</v>
      </c>
      <c r="C114" s="1" t="str">
        <f t="shared" ref="C114:C118" si="106">"n/a"</f>
        <v>n/a</v>
      </c>
      <c r="D114" s="1" t="str">
        <f>"Tom Spurgeon"</f>
        <v>Tom Spurgeon</v>
      </c>
      <c r="E114" s="1" t="str">
        <f t="shared" si="100"/>
        <v>31</v>
      </c>
      <c r="F114" s="1" t="str">
        <f t="shared" si="101"/>
        <v>Book</v>
      </c>
      <c r="G114" s="1" t="str">
        <f>"42135"</f>
        <v>42135</v>
      </c>
      <c r="H114" s="1" t="str">
        <f t="shared" si="102"/>
        <v>2020-07-21</v>
      </c>
      <c r="I114" s="1" t="str">
        <f t="shared" si="6"/>
        <v>2</v>
      </c>
      <c r="J114" s="1" t="str">
        <f t="shared" si="7"/>
        <v>Rejected All</v>
      </c>
      <c r="L114" s="1" t="str">
        <f>"42500"</f>
        <v>42500</v>
      </c>
      <c r="M114" s="1" t="str">
        <f>"39"</f>
        <v>39</v>
      </c>
      <c r="N114" s="1" t="str">
        <f>"being detrimental to security for the following reason:"</f>
        <v>being detrimental to security for the following reason:</v>
      </c>
    </row>
    <row r="115" ht="14.25" customHeight="1">
      <c r="A115" s="1" t="str">
        <f>"Sexually Astrology"</f>
        <v>Sexually Astrology</v>
      </c>
      <c r="B115" s="1" t="str">
        <f t="shared" si="105"/>
        <v>0</v>
      </c>
      <c r="C115" s="1" t="str">
        <f t="shared" si="106"/>
        <v>n/a</v>
      </c>
      <c r="D115" s="1" t="str">
        <f>"Martine"</f>
        <v>Martine</v>
      </c>
      <c r="E115" s="1" t="str">
        <f t="shared" si="100"/>
        <v>31</v>
      </c>
      <c r="F115" s="1" t="str">
        <f t="shared" si="101"/>
        <v>Book</v>
      </c>
      <c r="G115" s="1" t="str">
        <f>"42194"</f>
        <v>42194</v>
      </c>
      <c r="H115" s="1" t="str">
        <f t="shared" si="102"/>
        <v>2020-07-21</v>
      </c>
      <c r="I115" s="1" t="str">
        <f t="shared" si="6"/>
        <v>2</v>
      </c>
      <c r="J115" s="1" t="str">
        <f t="shared" si="7"/>
        <v>Rejected All</v>
      </c>
      <c r="L115" s="1" t="str">
        <f>"42559"</f>
        <v>42559</v>
      </c>
      <c r="M115" s="1" t="str">
        <f>"43"</f>
        <v>43</v>
      </c>
      <c r="N115" s="1" t="str">
        <f>"containing written sexually explicit / sado-masochistic behavior"</f>
        <v>containing written sexually explicit / sado-masochistic behavior</v>
      </c>
    </row>
    <row r="116" ht="14.25" customHeight="1">
      <c r="A116" s="1" t="str">
        <f>"Faeryland the Secret World of the Hidden Ones"</f>
        <v>Faeryland the Secret World of the Hidden Ones</v>
      </c>
      <c r="B116" s="1" t="str">
        <f t="shared" si="105"/>
        <v>0</v>
      </c>
      <c r="C116" s="1" t="str">
        <f t="shared" si="106"/>
        <v>n/a</v>
      </c>
      <c r="D116" s="1" t="str">
        <f>"John Matthews"</f>
        <v>John Matthews</v>
      </c>
      <c r="E116" s="1" t="str">
        <f t="shared" si="100"/>
        <v>31</v>
      </c>
      <c r="F116" s="1" t="str">
        <f t="shared" si="101"/>
        <v>Book</v>
      </c>
      <c r="G116" s="1" t="str">
        <f>"42195"</f>
        <v>42195</v>
      </c>
      <c r="H116" s="1" t="str">
        <f t="shared" si="102"/>
        <v>2020-07-21</v>
      </c>
      <c r="I116" s="1" t="str">
        <f t="shared" si="6"/>
        <v>2</v>
      </c>
      <c r="J116" s="1" t="str">
        <f t="shared" si="7"/>
        <v>Rejected All</v>
      </c>
      <c r="L116" s="1" t="str">
        <f>"42560"</f>
        <v>42560</v>
      </c>
      <c r="M116" s="1" t="str">
        <f>"39"</f>
        <v>39</v>
      </c>
      <c r="N116" s="1" t="str">
        <f>"being detrimental to security for the following reason:"</f>
        <v>being detrimental to security for the following reason:</v>
      </c>
    </row>
    <row r="117" ht="14.25" customHeight="1">
      <c r="A117" s="1" t="str">
        <f>"The Fantasy Art of Calandra"</f>
        <v>The Fantasy Art of Calandra</v>
      </c>
      <c r="B117" s="1" t="str">
        <f t="shared" si="105"/>
        <v>0</v>
      </c>
      <c r="C117" s="1" t="str">
        <f t="shared" si="106"/>
        <v>n/a</v>
      </c>
      <c r="D117" s="1" t="str">
        <f>"An Sop Presentation"</f>
        <v>An Sop Presentation</v>
      </c>
      <c r="E117" s="1" t="str">
        <f t="shared" si="100"/>
        <v>31</v>
      </c>
      <c r="F117" s="1" t="str">
        <f t="shared" si="101"/>
        <v>Book</v>
      </c>
      <c r="G117" s="1" t="str">
        <f>"42196"</f>
        <v>42196</v>
      </c>
      <c r="H117" s="1" t="str">
        <f t="shared" si="102"/>
        <v>2020-07-21</v>
      </c>
      <c r="I117" s="1" t="str">
        <f t="shared" si="6"/>
        <v>2</v>
      </c>
      <c r="J117" s="1" t="str">
        <f t="shared" si="7"/>
        <v>Rejected All</v>
      </c>
      <c r="L117" s="1" t="str">
        <f>"42561"</f>
        <v>42561</v>
      </c>
      <c r="M117" s="1" t="str">
        <f t="shared" ref="M117:M118" si="107">"42"</f>
        <v>42</v>
      </c>
      <c r="N117" s="1" t="str">
        <f t="shared" ref="N117:N118" si="108">"containing pictorially explicit nudity"</f>
        <v>containing pictorially explicit nudity</v>
      </c>
    </row>
    <row r="118" ht="14.25" customHeight="1">
      <c r="A118" s="1" t="str">
        <f>"Russian Prison Tattoos"</f>
        <v>Russian Prison Tattoos</v>
      </c>
      <c r="B118" s="1" t="str">
        <f t="shared" si="105"/>
        <v>0</v>
      </c>
      <c r="C118" s="1" t="str">
        <f t="shared" si="106"/>
        <v>n/a</v>
      </c>
      <c r="D118" s="1" t="str">
        <f>"Alix Lambert"</f>
        <v>Alix Lambert</v>
      </c>
      <c r="E118" s="1" t="str">
        <f t="shared" si="100"/>
        <v>31</v>
      </c>
      <c r="F118" s="1" t="str">
        <f t="shared" si="101"/>
        <v>Book</v>
      </c>
      <c r="G118" s="1" t="str">
        <f>"42230"</f>
        <v>42230</v>
      </c>
      <c r="H118" s="1" t="str">
        <f t="shared" si="102"/>
        <v>2020-07-21</v>
      </c>
      <c r="I118" s="1" t="str">
        <f t="shared" si="6"/>
        <v>2</v>
      </c>
      <c r="J118" s="1" t="str">
        <f t="shared" si="7"/>
        <v>Rejected All</v>
      </c>
      <c r="L118" s="1" t="str">
        <f>"42595"</f>
        <v>42595</v>
      </c>
      <c r="M118" s="1" t="str">
        <f t="shared" si="107"/>
        <v>42</v>
      </c>
      <c r="N118" s="1" t="str">
        <f t="shared" si="108"/>
        <v>containing pictorially explicit nudity</v>
      </c>
    </row>
    <row r="119" ht="14.25" customHeight="1">
      <c r="A119" s="1" t="str">
        <f>"Psychedelics Encyclopedia"</f>
        <v>Psychedelics Encyclopedia</v>
      </c>
      <c r="B119" s="1" t="str">
        <f>"8679"</f>
        <v>8679</v>
      </c>
      <c r="C119" s="1" t="str">
        <f>"Third Expanded Edition"</f>
        <v>Third Expanded Edition</v>
      </c>
      <c r="D119" s="1" t="str">
        <f>"Peter Stafford"</f>
        <v>Peter Stafford</v>
      </c>
      <c r="E119" s="1" t="str">
        <f t="shared" si="100"/>
        <v>31</v>
      </c>
      <c r="F119" s="1" t="str">
        <f t="shared" si="101"/>
        <v>Book</v>
      </c>
      <c r="G119" s="1" t="str">
        <f>"42099"</f>
        <v>42099</v>
      </c>
      <c r="H119" s="1" t="str">
        <f t="shared" si="102"/>
        <v>2020-07-21</v>
      </c>
      <c r="I119" s="1" t="str">
        <f t="shared" si="6"/>
        <v>2</v>
      </c>
      <c r="J119" s="1" t="str">
        <f t="shared" si="7"/>
        <v>Rejected All</v>
      </c>
      <c r="L119" s="1" t="str">
        <f>"42464"</f>
        <v>42464</v>
      </c>
      <c r="M119" s="1" t="str">
        <f>"10"</f>
        <v>10</v>
      </c>
      <c r="N119" s="1" t="str">
        <f>"encouraging or instructing on the commision of criminal activity"</f>
        <v>encouraging or instructing on the commision of criminal activity</v>
      </c>
    </row>
    <row r="120" ht="14.25" customHeight="1">
      <c r="A120" s="1" t="str">
        <f>"Testament of Sister New Devil STORM Rated MATURE"</f>
        <v>Testament of Sister New Devil STORM Rated MATURE</v>
      </c>
      <c r="B120" s="1" t="str">
        <f>"8246"</f>
        <v>8246</v>
      </c>
      <c r="C120" s="1" t="str">
        <f>"Vol. 001"</f>
        <v>Vol. 001</v>
      </c>
      <c r="D120" s="1" t="str">
        <f>"Tetsuto Uesu"</f>
        <v>Tetsuto Uesu</v>
      </c>
      <c r="E120" s="1" t="str">
        <f t="shared" si="100"/>
        <v>31</v>
      </c>
      <c r="F120" s="1" t="str">
        <f t="shared" si="101"/>
        <v>Book</v>
      </c>
      <c r="G120" s="1" t="str">
        <f>"42075"</f>
        <v>42075</v>
      </c>
      <c r="H120" s="1" t="str">
        <f t="shared" si="102"/>
        <v>2020-07-21</v>
      </c>
      <c r="I120" s="1" t="str">
        <f t="shared" si="6"/>
        <v>2</v>
      </c>
      <c r="J120" s="1" t="str">
        <f t="shared" si="7"/>
        <v>Rejected All</v>
      </c>
      <c r="L120" s="1" t="str">
        <f>"42438"</f>
        <v>42438</v>
      </c>
      <c r="M120" s="1" t="str">
        <f t="shared" ref="M120:M121" si="109">"42"</f>
        <v>42</v>
      </c>
      <c r="N120" s="1" t="str">
        <f t="shared" ref="N120:N121" si="110">"containing pictorially explicit nudity"</f>
        <v>containing pictorially explicit nudity</v>
      </c>
    </row>
    <row r="121" ht="14.25" customHeight="1">
      <c r="A121" s="1" t="str">
        <f>"Black &amp;amp; White"</f>
        <v>Black &amp;amp; White</v>
      </c>
      <c r="B121" s="1" t="str">
        <f>"8664"</f>
        <v>8664</v>
      </c>
      <c r="C121" s="1" t="str">
        <f>"Issue 140 August 2020"</f>
        <v>Issue 140 August 2020</v>
      </c>
      <c r="E121" s="1" t="str">
        <f t="shared" ref="E121:E122" si="111">"32"</f>
        <v>32</v>
      </c>
      <c r="F121" s="1" t="str">
        <f t="shared" ref="F121:F122" si="112">"Magazine/Newspaper"</f>
        <v>Magazine/Newspaper</v>
      </c>
      <c r="G121" s="1" t="str">
        <f>"42037"</f>
        <v>42037</v>
      </c>
      <c r="H121" s="1" t="str">
        <f t="shared" si="102"/>
        <v>2020-07-21</v>
      </c>
      <c r="I121" s="1" t="str">
        <f t="shared" si="6"/>
        <v>2</v>
      </c>
      <c r="J121" s="1" t="str">
        <f t="shared" si="7"/>
        <v>Rejected All</v>
      </c>
      <c r="L121" s="1" t="str">
        <f>"42400"</f>
        <v>42400</v>
      </c>
      <c r="M121" s="1" t="str">
        <f t="shared" si="109"/>
        <v>42</v>
      </c>
      <c r="N121" s="1" t="str">
        <f t="shared" si="110"/>
        <v>containing pictorially explicit nudity</v>
      </c>
    </row>
    <row r="122" ht="14.25" customHeight="1">
      <c r="A122" s="1" t="str">
        <f>"Phat Puffs"</f>
        <v>Phat Puffs</v>
      </c>
      <c r="B122" s="1" t="str">
        <f>"8680"</f>
        <v>8680</v>
      </c>
      <c r="C122" s="1" t="str">
        <f>"Summer 2020 #18"</f>
        <v>Summer 2020 #18</v>
      </c>
      <c r="E122" s="1" t="str">
        <f t="shared" si="111"/>
        <v>32</v>
      </c>
      <c r="F122" s="1" t="str">
        <f t="shared" si="112"/>
        <v>Magazine/Newspaper</v>
      </c>
      <c r="G122" s="1" t="str">
        <f>"42101"</f>
        <v>42101</v>
      </c>
      <c r="H122" s="1" t="str">
        <f t="shared" si="102"/>
        <v>2020-07-21</v>
      </c>
      <c r="I122" s="1" t="str">
        <f t="shared" si="6"/>
        <v>2</v>
      </c>
      <c r="J122" s="1" t="str">
        <f t="shared" si="7"/>
        <v>Rejected All</v>
      </c>
      <c r="L122" s="1" t="str">
        <f>"42466"</f>
        <v>42466</v>
      </c>
      <c r="M122" s="1" t="str">
        <f>"43"</f>
        <v>43</v>
      </c>
      <c r="N122" s="1" t="str">
        <f>"containing written sexually explicit / sado-masochistic behavior"</f>
        <v>containing written sexually explicit / sado-masochistic behavior</v>
      </c>
    </row>
    <row r="123" ht="14.25" customHeight="1">
      <c r="A123" s="1" t="str">
        <f>"Train Lik e a Fighter"</f>
        <v>Train Lik e a Fighter</v>
      </c>
      <c r="B123" s="1" t="str">
        <f t="shared" ref="B123:B126" si="113">"0"</f>
        <v>0</v>
      </c>
      <c r="C123" s="1" t="str">
        <f t="shared" ref="C123:C126" si="114">"n/a"</f>
        <v>n/a</v>
      </c>
      <c r="D123" s="1" t="str">
        <f>"Cat Zingano"</f>
        <v>Cat Zingano</v>
      </c>
      <c r="E123" s="1" t="str">
        <f t="shared" ref="E123:E127" si="115">"31"</f>
        <v>31</v>
      </c>
      <c r="F123" s="1" t="str">
        <f t="shared" ref="F123:F127" si="116">"Book"</f>
        <v>Book</v>
      </c>
      <c r="G123" s="1" t="str">
        <f>"42272"</f>
        <v>42272</v>
      </c>
      <c r="H123" s="1" t="str">
        <f t="shared" ref="H123:H128" si="117">"2020-08-04"</f>
        <v>2020-08-04</v>
      </c>
      <c r="I123" s="1" t="str">
        <f t="shared" si="6"/>
        <v>2</v>
      </c>
      <c r="J123" s="1" t="str">
        <f t="shared" si="7"/>
        <v>Rejected All</v>
      </c>
      <c r="L123" s="1" t="str">
        <f>"42637"</f>
        <v>42637</v>
      </c>
      <c r="M123" s="1" t="str">
        <f t="shared" ref="M123:M124" si="118">"40"</f>
        <v>40</v>
      </c>
      <c r="N123" s="1" t="str">
        <f t="shared" ref="N123:N124" si="119">"describing fighting techniques"</f>
        <v>describing fighting techniques</v>
      </c>
    </row>
    <row r="124" ht="14.25" customHeight="1">
      <c r="A124" s="1" t="str">
        <f>"Badass Boxing"</f>
        <v>Badass Boxing</v>
      </c>
      <c r="B124" s="1" t="str">
        <f t="shared" si="113"/>
        <v>0</v>
      </c>
      <c r="C124" s="1" t="str">
        <f t="shared" si="114"/>
        <v>n/a</v>
      </c>
      <c r="D124" s="1" t="str">
        <f>"Jennifer Dugwen Cheng"</f>
        <v>Jennifer Dugwen Cheng</v>
      </c>
      <c r="E124" s="1" t="str">
        <f t="shared" si="115"/>
        <v>31</v>
      </c>
      <c r="F124" s="1" t="str">
        <f t="shared" si="116"/>
        <v>Book</v>
      </c>
      <c r="G124" s="1" t="str">
        <f>"42273"</f>
        <v>42273</v>
      </c>
      <c r="H124" s="1" t="str">
        <f t="shared" si="117"/>
        <v>2020-08-04</v>
      </c>
      <c r="I124" s="1" t="str">
        <f t="shared" si="6"/>
        <v>2</v>
      </c>
      <c r="J124" s="1" t="str">
        <f t="shared" si="7"/>
        <v>Rejected All</v>
      </c>
      <c r="L124" s="1" t="str">
        <f>"42638"</f>
        <v>42638</v>
      </c>
      <c r="M124" s="1" t="str">
        <f t="shared" si="118"/>
        <v>40</v>
      </c>
      <c r="N124" s="1" t="str">
        <f t="shared" si="119"/>
        <v>describing fighting techniques</v>
      </c>
    </row>
    <row r="125" ht="14.25" customHeight="1">
      <c r="A125" s="1" t="str">
        <f>"The Little Book of Incredibly Useful Knots"</f>
        <v>The Little Book of Incredibly Useful Knots</v>
      </c>
      <c r="B125" s="1" t="str">
        <f t="shared" si="113"/>
        <v>0</v>
      </c>
      <c r="C125" s="1" t="str">
        <f t="shared" si="114"/>
        <v>n/a</v>
      </c>
      <c r="D125" s="1" t="str">
        <f>"Geoffrey Budworth &amp;amp; Jason Dalton"</f>
        <v>Geoffrey Budworth &amp;amp; Jason Dalton</v>
      </c>
      <c r="E125" s="1" t="str">
        <f t="shared" si="115"/>
        <v>31</v>
      </c>
      <c r="F125" s="1" t="str">
        <f t="shared" si="116"/>
        <v>Book</v>
      </c>
      <c r="G125" s="1" t="str">
        <f>"42275"</f>
        <v>42275</v>
      </c>
      <c r="H125" s="1" t="str">
        <f t="shared" si="117"/>
        <v>2020-08-04</v>
      </c>
      <c r="I125" s="1" t="str">
        <f t="shared" si="6"/>
        <v>2</v>
      </c>
      <c r="J125" s="1" t="str">
        <f t="shared" si="7"/>
        <v>Rejected All</v>
      </c>
      <c r="L125" s="1" t="str">
        <f>"42640"</f>
        <v>42640</v>
      </c>
      <c r="M125" s="1" t="str">
        <f>"39"</f>
        <v>39</v>
      </c>
      <c r="N125" s="1" t="str">
        <f>"being detrimental to security for the following reason:"</f>
        <v>being detrimental to security for the following reason:</v>
      </c>
    </row>
    <row r="126" ht="14.25" customHeight="1">
      <c r="A126" s="1" t="str">
        <f>"Tai Chi Chuan Classical Yang Style"</f>
        <v>Tai Chi Chuan Classical Yang Style</v>
      </c>
      <c r="B126" s="1" t="str">
        <f t="shared" si="113"/>
        <v>0</v>
      </c>
      <c r="C126" s="1" t="str">
        <f t="shared" si="114"/>
        <v>n/a</v>
      </c>
      <c r="D126" s="1" t="s">
        <v>4</v>
      </c>
      <c r="E126" s="1" t="str">
        <f t="shared" si="115"/>
        <v>31</v>
      </c>
      <c r="F126" s="1" t="str">
        <f t="shared" si="116"/>
        <v>Book</v>
      </c>
      <c r="G126" s="1" t="str">
        <f>"42349"</f>
        <v>42349</v>
      </c>
      <c r="H126" s="1" t="str">
        <f t="shared" si="117"/>
        <v>2020-08-04</v>
      </c>
      <c r="I126" s="1" t="str">
        <f t="shared" si="6"/>
        <v>2</v>
      </c>
      <c r="J126" s="1" t="str">
        <f t="shared" si="7"/>
        <v>Rejected All</v>
      </c>
      <c r="L126" s="1" t="str">
        <f>"42714"</f>
        <v>42714</v>
      </c>
      <c r="M126" s="1" t="str">
        <f>"40"</f>
        <v>40</v>
      </c>
      <c r="N126" s="1" t="str">
        <f>"describing fighting techniques"</f>
        <v>describing fighting techniques</v>
      </c>
    </row>
    <row r="127" ht="14.25" customHeight="1">
      <c r="A127" s="1" t="str">
        <f>"Sag Survival  Handbook "</f>
        <v>Sag Survival  Handbook </v>
      </c>
      <c r="B127" s="1" t="str">
        <f>"7195"</f>
        <v>7195</v>
      </c>
      <c r="C127" s="1" t="str">
        <f>"Third Edition"</f>
        <v>Third Edition</v>
      </c>
      <c r="D127" s="1" t="str">
        <f>"John &amp;quot;Lofty&amp;quot; Wiseman"</f>
        <v>John &amp;quot;Lofty&amp;quot; Wiseman</v>
      </c>
      <c r="E127" s="1" t="str">
        <f t="shared" si="115"/>
        <v>31</v>
      </c>
      <c r="F127" s="1" t="str">
        <f t="shared" si="116"/>
        <v>Book</v>
      </c>
      <c r="G127" s="1" t="str">
        <f>"42274"</f>
        <v>42274</v>
      </c>
      <c r="H127" s="1" t="str">
        <f t="shared" si="117"/>
        <v>2020-08-04</v>
      </c>
      <c r="I127" s="1" t="str">
        <f t="shared" si="6"/>
        <v>2</v>
      </c>
      <c r="J127" s="1" t="str">
        <f t="shared" si="7"/>
        <v>Rejected All</v>
      </c>
      <c r="L127" s="1" t="str">
        <f>"42639"</f>
        <v>42639</v>
      </c>
      <c r="M127" s="1" t="str">
        <f t="shared" ref="M127:M128" si="120">"39"</f>
        <v>39</v>
      </c>
      <c r="N127" s="1" t="str">
        <f t="shared" ref="N127:N128" si="121">"being detrimental to security for the following reason:"</f>
        <v>being detrimental to security for the following reason:</v>
      </c>
    </row>
    <row r="128" ht="14.25" customHeight="1">
      <c r="A128" s="1" t="str">
        <f>"Survivor&amp;#39;s Edge"</f>
        <v>Survivor&amp;#39;s Edge</v>
      </c>
      <c r="B128" s="1" t="str">
        <f>"8390"</f>
        <v>8390</v>
      </c>
      <c r="C128" s="1" t="str">
        <f>"February 2020"</f>
        <v>February 2020</v>
      </c>
      <c r="E128" s="1" t="str">
        <f>"32"</f>
        <v>32</v>
      </c>
      <c r="F128" s="1" t="str">
        <f>"Magazine/Newspaper"</f>
        <v>Magazine/Newspaper</v>
      </c>
      <c r="G128" s="1" t="str">
        <f>"42247"</f>
        <v>42247</v>
      </c>
      <c r="H128" s="1" t="str">
        <f t="shared" si="117"/>
        <v>2020-08-04</v>
      </c>
      <c r="I128" s="1" t="str">
        <f t="shared" si="6"/>
        <v>2</v>
      </c>
      <c r="J128" s="1" t="str">
        <f t="shared" si="7"/>
        <v>Rejected All</v>
      </c>
      <c r="L128" s="1" t="str">
        <f>"42613"</f>
        <v>42613</v>
      </c>
      <c r="M128" s="1" t="str">
        <f t="shared" si="120"/>
        <v>39</v>
      </c>
      <c r="N128" s="1" t="str">
        <f t="shared" si="121"/>
        <v>being detrimental to security for the following reason:</v>
      </c>
    </row>
    <row r="129" ht="14.25" customHeight="1">
      <c r="A129" s="1" t="str">
        <f>"How to Create CPN Numbers"</f>
        <v>How to Create CPN Numbers</v>
      </c>
      <c r="B129" s="1" t="str">
        <f t="shared" ref="B129:B131" si="122">"0"</f>
        <v>0</v>
      </c>
      <c r="C129" s="1" t="str">
        <f t="shared" ref="C129:C131" si="123">"n/a"</f>
        <v>n/a</v>
      </c>
      <c r="D129" s="1" t="str">
        <f>"James Armstrong"</f>
        <v>James Armstrong</v>
      </c>
      <c r="E129" s="1" t="str">
        <f t="shared" ref="E129:E150" si="124">"31"</f>
        <v>31</v>
      </c>
      <c r="F129" s="1" t="str">
        <f t="shared" ref="F129:F150" si="125">"Book"</f>
        <v>Book</v>
      </c>
      <c r="G129" s="1" t="str">
        <f>"42364"</f>
        <v>42364</v>
      </c>
      <c r="H129" s="1" t="str">
        <f t="shared" ref="H129:H131" si="126">"2020-08-18"</f>
        <v>2020-08-18</v>
      </c>
      <c r="I129" s="1" t="str">
        <f t="shared" si="6"/>
        <v>2</v>
      </c>
      <c r="J129" s="1" t="str">
        <f t="shared" si="7"/>
        <v>Rejected All</v>
      </c>
      <c r="L129" s="1" t="str">
        <f>"42732"</f>
        <v>42732</v>
      </c>
      <c r="M129" s="1" t="str">
        <f>"10"</f>
        <v>10</v>
      </c>
      <c r="N129" s="1" t="str">
        <f>"encouraging or instructing on the commision of criminal activity"</f>
        <v>encouraging or instructing on the commision of criminal activity</v>
      </c>
    </row>
    <row r="130" ht="14.25" customHeight="1">
      <c r="A130" s="1" t="str">
        <f>"The Girl with a Thousand Curves"</f>
        <v>The Girl with a Thousand Curves</v>
      </c>
      <c r="B130" s="1" t="str">
        <f t="shared" si="122"/>
        <v>0</v>
      </c>
      <c r="C130" s="1" t="str">
        <f t="shared" si="123"/>
        <v>n/a</v>
      </c>
      <c r="D130" s="1" t="str">
        <f>"Yorozu Tatararoya"</f>
        <v>Yorozu Tatararoya</v>
      </c>
      <c r="E130" s="1" t="str">
        <f t="shared" si="124"/>
        <v>31</v>
      </c>
      <c r="F130" s="1" t="str">
        <f t="shared" si="125"/>
        <v>Book</v>
      </c>
      <c r="G130" s="1" t="str">
        <f>"42405"</f>
        <v>42405</v>
      </c>
      <c r="H130" s="1" t="str">
        <f t="shared" si="126"/>
        <v>2020-08-18</v>
      </c>
      <c r="I130" s="1" t="str">
        <f t="shared" si="6"/>
        <v>2</v>
      </c>
      <c r="J130" s="1" t="str">
        <f t="shared" si="7"/>
        <v>Rejected All</v>
      </c>
      <c r="L130" s="1" t="str">
        <f>"42775"</f>
        <v>42775</v>
      </c>
      <c r="M130" s="1" t="str">
        <f>"42"</f>
        <v>42</v>
      </c>
      <c r="N130" s="1" t="str">
        <f>"containing pictorially explicit nudity"</f>
        <v>containing pictorially explicit nudity</v>
      </c>
    </row>
    <row r="131" ht="14.25" customHeight="1">
      <c r="A131" s="1" t="str">
        <f>"The Devil&amp;#39;s Secret"</f>
        <v>The Devil&amp;#39;s Secret</v>
      </c>
      <c r="B131" s="1" t="str">
        <f t="shared" si="122"/>
        <v>0</v>
      </c>
      <c r="C131" s="1" t="str">
        <f t="shared" si="123"/>
        <v>n/a</v>
      </c>
      <c r="D131" s="1" t="str">
        <f>"Hinako Takanaga"</f>
        <v>Hinako Takanaga</v>
      </c>
      <c r="E131" s="1" t="str">
        <f t="shared" si="124"/>
        <v>31</v>
      </c>
      <c r="F131" s="1" t="str">
        <f t="shared" si="125"/>
        <v>Book</v>
      </c>
      <c r="G131" s="1" t="str">
        <f>"42406"</f>
        <v>42406</v>
      </c>
      <c r="H131" s="1" t="str">
        <f t="shared" si="126"/>
        <v>2020-08-18</v>
      </c>
      <c r="I131" s="1" t="str">
        <f t="shared" si="6"/>
        <v>2</v>
      </c>
      <c r="J131" s="1" t="str">
        <f t="shared" si="7"/>
        <v>Rejected All</v>
      </c>
      <c r="L131" s="1" t="str">
        <f>"42776"</f>
        <v>42776</v>
      </c>
      <c r="M131" s="1" t="str">
        <f>"41"</f>
        <v>41</v>
      </c>
      <c r="N131" s="1" t="str">
        <f>"containing pictorially explicit sexual activity"</f>
        <v>containing pictorially explicit sexual activity</v>
      </c>
    </row>
    <row r="132" ht="14.25" customHeight="1">
      <c r="A132" s="1" t="str">
        <f>"Show Me How"</f>
        <v>Show Me How</v>
      </c>
      <c r="B132" s="1" t="str">
        <f>"8797"</f>
        <v>8797</v>
      </c>
      <c r="C132" s="1" t="str">
        <f>"500 Thingsd You Should Know"</f>
        <v>500 Thingsd You Should Know</v>
      </c>
      <c r="D132" s="1" t="str">
        <f>"Derek Fagerstrom &amp;amp; Lauren Smith"</f>
        <v>Derek Fagerstrom &amp;amp; Lauren Smith</v>
      </c>
      <c r="E132" s="1" t="str">
        <f t="shared" si="124"/>
        <v>31</v>
      </c>
      <c r="F132" s="1" t="str">
        <f t="shared" si="125"/>
        <v>Book</v>
      </c>
      <c r="G132" s="1" t="str">
        <f>"42485"</f>
        <v>42485</v>
      </c>
      <c r="H132" s="1" t="str">
        <f t="shared" ref="H132:H152" si="127">"2020-09-01"</f>
        <v>2020-09-01</v>
      </c>
      <c r="I132" s="1" t="str">
        <f t="shared" si="6"/>
        <v>2</v>
      </c>
      <c r="J132" s="1" t="str">
        <f t="shared" si="7"/>
        <v>Rejected All</v>
      </c>
      <c r="L132" s="1" t="str">
        <f>"42854"</f>
        <v>42854</v>
      </c>
      <c r="M132" s="1" t="str">
        <f>"39"</f>
        <v>39</v>
      </c>
      <c r="N132" s="1" t="str">
        <f>"being detrimental to security for the following reason:"</f>
        <v>being detrimental to security for the following reason:</v>
      </c>
    </row>
    <row r="133" ht="14.25" customHeight="1">
      <c r="A133" s="1" t="str">
        <f>"The Prada Plan 4"</f>
        <v>The Prada Plan 4</v>
      </c>
      <c r="B133" s="1" t="str">
        <f>"8831"</f>
        <v>8831</v>
      </c>
      <c r="C133" s="1" t="str">
        <f>"Love and War"</f>
        <v>Love and War</v>
      </c>
      <c r="D133" s="1" t="str">
        <f>"Ashley Antoinette"</f>
        <v>Ashley Antoinette</v>
      </c>
      <c r="E133" s="1" t="str">
        <f t="shared" si="124"/>
        <v>31</v>
      </c>
      <c r="F133" s="1" t="str">
        <f t="shared" si="125"/>
        <v>Book</v>
      </c>
      <c r="G133" s="1" t="str">
        <f>"42620"</f>
        <v>42620</v>
      </c>
      <c r="H133" s="1" t="str">
        <f t="shared" si="127"/>
        <v>2020-09-01</v>
      </c>
      <c r="I133" s="1" t="str">
        <f t="shared" si="6"/>
        <v>2</v>
      </c>
      <c r="J133" s="1" t="str">
        <f t="shared" si="7"/>
        <v>Rejected All</v>
      </c>
      <c r="L133" s="1" t="str">
        <f>"42996"</f>
        <v>42996</v>
      </c>
      <c r="M133" s="1" t="str">
        <f>"46"</f>
        <v>46</v>
      </c>
      <c r="N133" s="1" t="str">
        <f>"containing written sexually explicit material involving the use of force or non-consent"</f>
        <v>containing written sexually explicit material involving the use of force or non-consent</v>
      </c>
    </row>
    <row r="134" ht="14.25" customHeight="1">
      <c r="A134" s="1" t="str">
        <f>"First Verse"</f>
        <v>First Verse</v>
      </c>
      <c r="B134" s="1" t="str">
        <f t="shared" ref="B134:B146" si="128">"0"</f>
        <v>0</v>
      </c>
      <c r="C134" s="1" t="str">
        <f t="shared" ref="C134:C146" si="129">"n/a"</f>
        <v>n/a</v>
      </c>
      <c r="D134" s="1" t="str">
        <f>"Amir Butler"</f>
        <v>Amir Butler</v>
      </c>
      <c r="E134" s="1" t="str">
        <f t="shared" si="124"/>
        <v>31</v>
      </c>
      <c r="F134" s="1" t="str">
        <f t="shared" si="125"/>
        <v>Book</v>
      </c>
      <c r="G134" s="1" t="str">
        <f>"42409"</f>
        <v>42409</v>
      </c>
      <c r="H134" s="1" t="str">
        <f t="shared" si="127"/>
        <v>2020-09-01</v>
      </c>
      <c r="I134" s="1" t="str">
        <f t="shared" si="6"/>
        <v>2</v>
      </c>
      <c r="J134" s="1" t="str">
        <f t="shared" si="7"/>
        <v>Rejected All</v>
      </c>
      <c r="L134" s="1" t="str">
        <f>"42779"</f>
        <v>42779</v>
      </c>
      <c r="M134" s="1" t="str">
        <f>"47"</f>
        <v>47</v>
      </c>
      <c r="N134" s="1" t="str">
        <f>"containing descriptions of security risk group material or activity"</f>
        <v>containing descriptions of security risk group material or activity</v>
      </c>
    </row>
    <row r="135" ht="14.25" customHeight="1">
      <c r="A135" s="1" t="str">
        <f>"Train Like A Fighter"</f>
        <v>Train Like A Fighter</v>
      </c>
      <c r="B135" s="1" t="str">
        <f t="shared" si="128"/>
        <v>0</v>
      </c>
      <c r="C135" s="1" t="str">
        <f t="shared" si="129"/>
        <v>n/a</v>
      </c>
      <c r="D135" s="1" t="str">
        <f>"Cat Zingano"</f>
        <v>Cat Zingano</v>
      </c>
      <c r="E135" s="1" t="str">
        <f t="shared" si="124"/>
        <v>31</v>
      </c>
      <c r="F135" s="1" t="str">
        <f t="shared" si="125"/>
        <v>Book</v>
      </c>
      <c r="G135" s="1" t="str">
        <f>"42428"</f>
        <v>42428</v>
      </c>
      <c r="H135" s="1" t="str">
        <f t="shared" si="127"/>
        <v>2020-09-01</v>
      </c>
      <c r="I135" s="1" t="str">
        <f t="shared" si="6"/>
        <v>2</v>
      </c>
      <c r="J135" s="1" t="str">
        <f t="shared" si="7"/>
        <v>Rejected All</v>
      </c>
      <c r="L135" s="1" t="str">
        <f>"42798"</f>
        <v>42798</v>
      </c>
      <c r="M135" s="1" t="str">
        <f>"40"</f>
        <v>40</v>
      </c>
      <c r="N135" s="1" t="str">
        <f>"describing fighting techniques"</f>
        <v>describing fighting techniques</v>
      </c>
    </row>
    <row r="136" ht="14.25" customHeight="1">
      <c r="A136" s="1" t="str">
        <f>"Hell&amp;#39;s Angles: A Strange and Terrible Saga"</f>
        <v>Hell&amp;#39;s Angles: A Strange and Terrible Saga</v>
      </c>
      <c r="B136" s="1" t="str">
        <f t="shared" si="128"/>
        <v>0</v>
      </c>
      <c r="C136" s="1" t="str">
        <f t="shared" si="129"/>
        <v>n/a</v>
      </c>
      <c r="D136" s="1" t="str">
        <f>"Hunter S. Thompson"</f>
        <v>Hunter S. Thompson</v>
      </c>
      <c r="E136" s="1" t="str">
        <f t="shared" si="124"/>
        <v>31</v>
      </c>
      <c r="F136" s="1" t="str">
        <f t="shared" si="125"/>
        <v>Book</v>
      </c>
      <c r="G136" s="1" t="str">
        <f>"42429"</f>
        <v>42429</v>
      </c>
      <c r="H136" s="1" t="str">
        <f t="shared" si="127"/>
        <v>2020-09-01</v>
      </c>
      <c r="I136" s="1" t="str">
        <f t="shared" si="6"/>
        <v>2</v>
      </c>
      <c r="J136" s="1" t="str">
        <f t="shared" si="7"/>
        <v>Rejected All</v>
      </c>
      <c r="L136" s="1" t="str">
        <f>"42799"</f>
        <v>42799</v>
      </c>
      <c r="M136" s="1" t="str">
        <f>"47"</f>
        <v>47</v>
      </c>
      <c r="N136" s="1" t="str">
        <f>"containing descriptions of security risk group material or activity"</f>
        <v>containing descriptions of security risk group material or activity</v>
      </c>
    </row>
    <row r="137" ht="14.25" customHeight="1">
      <c r="A137" s="1" t="str">
        <f>"Clown Niggas"</f>
        <v>Clown Niggas</v>
      </c>
      <c r="B137" s="1" t="str">
        <f t="shared" si="128"/>
        <v>0</v>
      </c>
      <c r="C137" s="1" t="str">
        <f t="shared" si="129"/>
        <v>n/a</v>
      </c>
      <c r="D137" s="1" t="str">
        <f>"T. Styles"</f>
        <v>T. Styles</v>
      </c>
      <c r="E137" s="1" t="str">
        <f t="shared" si="124"/>
        <v>31</v>
      </c>
      <c r="F137" s="1" t="str">
        <f t="shared" si="125"/>
        <v>Book</v>
      </c>
      <c r="G137" s="1" t="str">
        <f>"42430"</f>
        <v>42430</v>
      </c>
      <c r="H137" s="1" t="str">
        <f t="shared" si="127"/>
        <v>2020-09-01</v>
      </c>
      <c r="I137" s="1" t="str">
        <f t="shared" si="6"/>
        <v>2</v>
      </c>
      <c r="J137" s="1" t="str">
        <f t="shared" si="7"/>
        <v>Rejected All</v>
      </c>
      <c r="L137" s="1" t="str">
        <f>"42800"</f>
        <v>42800</v>
      </c>
      <c r="M137" s="1" t="str">
        <f>"46"</f>
        <v>46</v>
      </c>
      <c r="N137" s="1" t="str">
        <f>"containing written sexually explicit material involving the use of force or non-consent"</f>
        <v>containing written sexually explicit material involving the use of force or non-consent</v>
      </c>
    </row>
    <row r="138" ht="14.25" customHeight="1">
      <c r="A138" s="1" t="str">
        <f>"From Prison to Power"</f>
        <v>From Prison to Power</v>
      </c>
      <c r="B138" s="1" t="str">
        <f t="shared" si="128"/>
        <v>0</v>
      </c>
      <c r="C138" s="1" t="str">
        <f t="shared" si="129"/>
        <v>n/a</v>
      </c>
      <c r="D138" s="1" t="str">
        <f>"Kent Osbourne"</f>
        <v>Kent Osbourne</v>
      </c>
      <c r="E138" s="1" t="str">
        <f t="shared" si="124"/>
        <v>31</v>
      </c>
      <c r="F138" s="1" t="str">
        <f t="shared" si="125"/>
        <v>Book</v>
      </c>
      <c r="G138" s="1" t="str">
        <f>"42440"</f>
        <v>42440</v>
      </c>
      <c r="H138" s="1" t="str">
        <f t="shared" si="127"/>
        <v>2020-09-01</v>
      </c>
      <c r="I138" s="1" t="str">
        <f t="shared" si="6"/>
        <v>2</v>
      </c>
      <c r="J138" s="1" t="str">
        <f t="shared" si="7"/>
        <v>Rejected All</v>
      </c>
      <c r="L138" s="1" t="str">
        <f>"42810"</f>
        <v>42810</v>
      </c>
      <c r="M138" s="1" t="str">
        <f>"10"</f>
        <v>10</v>
      </c>
      <c r="N138" s="1" t="str">
        <f>"encouraging or instructing on the commision of criminal activity"</f>
        <v>encouraging or instructing on the commision of criminal activity</v>
      </c>
    </row>
    <row r="139" ht="14.25" customHeight="1">
      <c r="A139" s="1" t="str">
        <f>"Ink &amp;amp; Steel"</f>
        <v>Ink &amp;amp; Steel</v>
      </c>
      <c r="B139" s="1" t="str">
        <f t="shared" si="128"/>
        <v>0</v>
      </c>
      <c r="C139" s="1" t="str">
        <f t="shared" si="129"/>
        <v>n/a</v>
      </c>
      <c r="D139" s="1" t="str">
        <f>"Efrain John Gonzalez"</f>
        <v>Efrain John Gonzalez</v>
      </c>
      <c r="E139" s="1" t="str">
        <f t="shared" si="124"/>
        <v>31</v>
      </c>
      <c r="F139" s="1" t="str">
        <f t="shared" si="125"/>
        <v>Book</v>
      </c>
      <c r="G139" s="1" t="str">
        <f>"42446"</f>
        <v>42446</v>
      </c>
      <c r="H139" s="1" t="str">
        <f t="shared" si="127"/>
        <v>2020-09-01</v>
      </c>
      <c r="I139" s="1" t="str">
        <f t="shared" si="6"/>
        <v>2</v>
      </c>
      <c r="J139" s="1" t="str">
        <f t="shared" si="7"/>
        <v>Rejected All</v>
      </c>
      <c r="L139" s="1" t="str">
        <f>"42816"</f>
        <v>42816</v>
      </c>
      <c r="M139" s="1" t="str">
        <f>"42"</f>
        <v>42</v>
      </c>
      <c r="N139" s="1" t="str">
        <f>"containing pictorially explicit nudity"</f>
        <v>containing pictorially explicit nudity</v>
      </c>
    </row>
    <row r="140" ht="14.25" customHeight="1">
      <c r="A140" s="1" t="str">
        <f>"Hurts So Good Unrestrained Erotica"</f>
        <v>Hurts So Good Unrestrained Erotica</v>
      </c>
      <c r="B140" s="1" t="str">
        <f t="shared" si="128"/>
        <v>0</v>
      </c>
      <c r="C140" s="1" t="str">
        <f t="shared" si="129"/>
        <v>n/a</v>
      </c>
      <c r="D140" s="1" t="str">
        <f>"Alison Tyler"</f>
        <v>Alison Tyler</v>
      </c>
      <c r="E140" s="1" t="str">
        <f t="shared" si="124"/>
        <v>31</v>
      </c>
      <c r="F140" s="1" t="str">
        <f t="shared" si="125"/>
        <v>Book</v>
      </c>
      <c r="G140" s="1" t="str">
        <f>"42482"</f>
        <v>42482</v>
      </c>
      <c r="H140" s="1" t="str">
        <f t="shared" si="127"/>
        <v>2020-09-01</v>
      </c>
      <c r="I140" s="1" t="str">
        <f t="shared" si="6"/>
        <v>2</v>
      </c>
      <c r="J140" s="1" t="str">
        <f t="shared" si="7"/>
        <v>Rejected All</v>
      </c>
      <c r="L140" s="1" t="str">
        <f>"42851"</f>
        <v>42851</v>
      </c>
      <c r="M140" s="1" t="str">
        <f>"43"</f>
        <v>43</v>
      </c>
      <c r="N140" s="1" t="str">
        <f>"containing written sexually explicit / sado-masochistic behavior"</f>
        <v>containing written sexually explicit / sado-masochistic behavior</v>
      </c>
    </row>
    <row r="141" ht="14.25" customHeight="1">
      <c r="A141" s="1" t="str">
        <f>"Tai Chi Dynamics"</f>
        <v>Tai Chi Dynamics</v>
      </c>
      <c r="B141" s="1" t="str">
        <f t="shared" si="128"/>
        <v>0</v>
      </c>
      <c r="C141" s="1" t="str">
        <f t="shared" si="129"/>
        <v>n/a</v>
      </c>
      <c r="D141" s="1" t="str">
        <f>"Robert Chuckrow"</f>
        <v>Robert Chuckrow</v>
      </c>
      <c r="E141" s="1" t="str">
        <f t="shared" si="124"/>
        <v>31</v>
      </c>
      <c r="F141" s="1" t="str">
        <f t="shared" si="125"/>
        <v>Book</v>
      </c>
      <c r="G141" s="1" t="str">
        <f>"42484"</f>
        <v>42484</v>
      </c>
      <c r="H141" s="1" t="str">
        <f t="shared" si="127"/>
        <v>2020-09-01</v>
      </c>
      <c r="I141" s="1" t="str">
        <f t="shared" si="6"/>
        <v>2</v>
      </c>
      <c r="J141" s="1" t="str">
        <f t="shared" si="7"/>
        <v>Rejected All</v>
      </c>
      <c r="L141" s="1" t="str">
        <f>"42853"</f>
        <v>42853</v>
      </c>
      <c r="M141" s="1" t="str">
        <f>"40"</f>
        <v>40</v>
      </c>
      <c r="N141" s="1" t="str">
        <f>"describing fighting techniques"</f>
        <v>describing fighting techniques</v>
      </c>
    </row>
    <row r="142" ht="14.25" customHeight="1">
      <c r="A142" s="1" t="str">
        <f>"National Electrical Code"</f>
        <v>National Electrical Code</v>
      </c>
      <c r="B142" s="1" t="str">
        <f t="shared" si="128"/>
        <v>0</v>
      </c>
      <c r="C142" s="1" t="str">
        <f t="shared" si="129"/>
        <v>n/a</v>
      </c>
      <c r="D142" s="1" t="str">
        <f>"National Fire Protection Assn."</f>
        <v>National Fire Protection Assn.</v>
      </c>
      <c r="E142" s="1" t="str">
        <f t="shared" si="124"/>
        <v>31</v>
      </c>
      <c r="F142" s="1" t="str">
        <f t="shared" si="125"/>
        <v>Book</v>
      </c>
      <c r="G142" s="1" t="str">
        <f>"42618"</f>
        <v>42618</v>
      </c>
      <c r="H142" s="1" t="str">
        <f t="shared" si="127"/>
        <v>2020-09-01</v>
      </c>
      <c r="I142" s="1" t="str">
        <f t="shared" si="6"/>
        <v>2</v>
      </c>
      <c r="J142" s="1" t="str">
        <f t="shared" si="7"/>
        <v>Rejected All</v>
      </c>
      <c r="L142" s="1" t="str">
        <f>"42994"</f>
        <v>42994</v>
      </c>
      <c r="M142" s="1" t="str">
        <f>"10"</f>
        <v>10</v>
      </c>
      <c r="N142" s="1" t="str">
        <f>"encouraging or instructing on the commision of criminal activity"</f>
        <v>encouraging or instructing on the commision of criminal activity</v>
      </c>
    </row>
    <row r="143" ht="14.25" customHeight="1">
      <c r="A143" s="1" t="str">
        <f>"Super Joints"</f>
        <v>Super Joints</v>
      </c>
      <c r="B143" s="1" t="str">
        <f t="shared" si="128"/>
        <v>0</v>
      </c>
      <c r="C143" s="1" t="str">
        <f t="shared" si="129"/>
        <v>n/a</v>
      </c>
      <c r="D143" s="1" t="str">
        <f>"Pavel Tsatsquline"</f>
        <v>Pavel Tsatsquline</v>
      </c>
      <c r="E143" s="1" t="str">
        <f t="shared" si="124"/>
        <v>31</v>
      </c>
      <c r="F143" s="1" t="str">
        <f t="shared" si="125"/>
        <v>Book</v>
      </c>
      <c r="G143" s="1" t="str">
        <f>"42648"</f>
        <v>42648</v>
      </c>
      <c r="H143" s="1" t="str">
        <f t="shared" si="127"/>
        <v>2020-09-01</v>
      </c>
      <c r="I143" s="1" t="str">
        <f t="shared" si="6"/>
        <v>2</v>
      </c>
      <c r="J143" s="1" t="str">
        <f t="shared" si="7"/>
        <v>Rejected All</v>
      </c>
      <c r="L143" s="1" t="str">
        <f>"43023"</f>
        <v>43023</v>
      </c>
      <c r="M143" s="1" t="str">
        <f>"40"</f>
        <v>40</v>
      </c>
      <c r="N143" s="1" t="str">
        <f>"describing fighting techniques"</f>
        <v>describing fighting techniques</v>
      </c>
    </row>
    <row r="144" ht="14.25" customHeight="1">
      <c r="A144" s="1" t="str">
        <f>"Hell&amp;#39;s Angles: Three Can Keep a Secret If Two Are Dead"</f>
        <v>Hell&amp;#39;s Angles: Three Can Keep a Secret If Two Are Dead</v>
      </c>
      <c r="B144" s="1" t="str">
        <f t="shared" si="128"/>
        <v>0</v>
      </c>
      <c r="C144" s="1" t="str">
        <f t="shared" si="129"/>
        <v>n/a</v>
      </c>
      <c r="D144" s="1" t="str">
        <f>"Yves Lavigne"</f>
        <v>Yves Lavigne</v>
      </c>
      <c r="E144" s="1" t="str">
        <f t="shared" si="124"/>
        <v>31</v>
      </c>
      <c r="F144" s="1" t="str">
        <f t="shared" si="125"/>
        <v>Book</v>
      </c>
      <c r="G144" s="1" t="str">
        <f>"42652"</f>
        <v>42652</v>
      </c>
      <c r="H144" s="1" t="str">
        <f t="shared" si="127"/>
        <v>2020-09-01</v>
      </c>
      <c r="I144" s="1" t="str">
        <f t="shared" si="6"/>
        <v>2</v>
      </c>
      <c r="J144" s="1" t="str">
        <f t="shared" si="7"/>
        <v>Rejected All</v>
      </c>
      <c r="L144" s="1" t="str">
        <f>"43027"</f>
        <v>43027</v>
      </c>
      <c r="M144" s="1" t="str">
        <f>"47"</f>
        <v>47</v>
      </c>
      <c r="N144" s="1" t="str">
        <f>"containing descriptions of security risk group material or activity"</f>
        <v>containing descriptions of security risk group material or activity</v>
      </c>
    </row>
    <row r="145" ht="14.25" customHeight="1">
      <c r="A145" s="1" t="str">
        <f>"The Psilocytin Mushroom Bilbe: The Difinitive Guide to Growing and Using Magic Mushrooms"</f>
        <v>The Psilocytin Mushroom Bilbe: The Difinitive Guide to Growing and Using Magic Mushrooms</v>
      </c>
      <c r="B145" s="1" t="str">
        <f t="shared" si="128"/>
        <v>0</v>
      </c>
      <c r="C145" s="1" t="str">
        <f t="shared" si="129"/>
        <v>n/a</v>
      </c>
      <c r="D145" s="1" t="str">
        <f>"Virgina Haze"</f>
        <v>Virgina Haze</v>
      </c>
      <c r="E145" s="1" t="str">
        <f t="shared" si="124"/>
        <v>31</v>
      </c>
      <c r="F145" s="1" t="str">
        <f t="shared" si="125"/>
        <v>Book</v>
      </c>
      <c r="G145" s="1" t="str">
        <f>"42653"</f>
        <v>42653</v>
      </c>
      <c r="H145" s="1" t="str">
        <f t="shared" si="127"/>
        <v>2020-09-01</v>
      </c>
      <c r="I145" s="1" t="str">
        <f t="shared" si="6"/>
        <v>2</v>
      </c>
      <c r="J145" s="1" t="str">
        <f t="shared" si="7"/>
        <v>Rejected All</v>
      </c>
      <c r="L145" s="1" t="str">
        <f>"43028"</f>
        <v>43028</v>
      </c>
      <c r="M145" s="1" t="str">
        <f>"7"</f>
        <v>7</v>
      </c>
      <c r="N145" s="1" t="str">
        <f>"describing procedures to brew alcohol or manufacture drugs"</f>
        <v>describing procedures to brew alcohol or manufacture drugs</v>
      </c>
    </row>
    <row r="146" ht="14.25" customHeight="1">
      <c r="A146" s="1" t="str">
        <f>"The Game of Desire"</f>
        <v>The Game of Desire</v>
      </c>
      <c r="B146" s="1" t="str">
        <f t="shared" si="128"/>
        <v>0</v>
      </c>
      <c r="C146" s="1" t="str">
        <f t="shared" si="129"/>
        <v>n/a</v>
      </c>
      <c r="D146" s="1" t="str">
        <f>"Shan Boodram"</f>
        <v>Shan Boodram</v>
      </c>
      <c r="E146" s="1" t="str">
        <f t="shared" si="124"/>
        <v>31</v>
      </c>
      <c r="F146" s="1" t="str">
        <f t="shared" si="125"/>
        <v>Book</v>
      </c>
      <c r="G146" s="1" t="str">
        <f>"42691"</f>
        <v>42691</v>
      </c>
      <c r="H146" s="1" t="str">
        <f t="shared" si="127"/>
        <v>2020-09-01</v>
      </c>
      <c r="I146" s="1" t="str">
        <f t="shared" si="6"/>
        <v>2</v>
      </c>
      <c r="J146" s="1" t="str">
        <f t="shared" si="7"/>
        <v>Rejected All</v>
      </c>
      <c r="L146" s="1" t="str">
        <f>"43067"</f>
        <v>43067</v>
      </c>
      <c r="M146" s="1" t="str">
        <f>"40"</f>
        <v>40</v>
      </c>
      <c r="N146" s="1" t="str">
        <f>"describing fighting techniques"</f>
        <v>describing fighting techniques</v>
      </c>
    </row>
    <row r="147" ht="14.25" customHeight="1">
      <c r="A147" s="1" t="str">
        <f>"Hot Lava Chronicles"</f>
        <v>Hot Lava Chronicles</v>
      </c>
      <c r="B147" s="1" t="str">
        <f>"8769"</f>
        <v>8769</v>
      </c>
      <c r="C147" s="1" t="str">
        <f>"Session 1"</f>
        <v>Session 1</v>
      </c>
      <c r="D147" s="1" t="str">
        <f>"Latif Williams"</f>
        <v>Latif Williams</v>
      </c>
      <c r="E147" s="1" t="str">
        <f t="shared" si="124"/>
        <v>31</v>
      </c>
      <c r="F147" s="1" t="str">
        <f t="shared" si="125"/>
        <v>Book</v>
      </c>
      <c r="G147" s="1" t="str">
        <f>"42426"</f>
        <v>42426</v>
      </c>
      <c r="H147" s="1" t="str">
        <f t="shared" si="127"/>
        <v>2020-09-01</v>
      </c>
      <c r="I147" s="1" t="str">
        <f t="shared" si="6"/>
        <v>2</v>
      </c>
      <c r="J147" s="1" t="str">
        <f t="shared" si="7"/>
        <v>Rejected All</v>
      </c>
      <c r="L147" s="1" t="str">
        <f>"42796"</f>
        <v>42796</v>
      </c>
      <c r="M147" s="1" t="str">
        <f>"45"</f>
        <v>45</v>
      </c>
      <c r="N147" s="1" t="str">
        <f>"containing written sexually explicit material involving minors"</f>
        <v>containing written sexually explicit material involving minors</v>
      </c>
    </row>
    <row r="148" ht="14.25" customHeight="1">
      <c r="A148" s="1" t="str">
        <f>"SAS Survival Handbook "</f>
        <v>SAS Survival Handbook </v>
      </c>
      <c r="B148" s="1" t="str">
        <f>"7195"</f>
        <v>7195</v>
      </c>
      <c r="C148" s="1" t="str">
        <f>"Third Edition"</f>
        <v>Third Edition</v>
      </c>
      <c r="D148" s="1" t="str">
        <f>"John Wiseman "</f>
        <v>John Wiseman </v>
      </c>
      <c r="E148" s="1" t="str">
        <f t="shared" si="124"/>
        <v>31</v>
      </c>
      <c r="F148" s="1" t="str">
        <f t="shared" si="125"/>
        <v>Book</v>
      </c>
      <c r="G148" s="1" t="str">
        <f>"42486"</f>
        <v>42486</v>
      </c>
      <c r="H148" s="1" t="str">
        <f t="shared" si="127"/>
        <v>2020-09-01</v>
      </c>
      <c r="I148" s="1" t="str">
        <f t="shared" si="6"/>
        <v>2</v>
      </c>
      <c r="J148" s="1" t="str">
        <f t="shared" si="7"/>
        <v>Rejected All</v>
      </c>
      <c r="L148" s="1" t="str">
        <f>"42855"</f>
        <v>42855</v>
      </c>
      <c r="M148" s="1" t="str">
        <f>"40"</f>
        <v>40</v>
      </c>
      <c r="N148" s="1" t="str">
        <f>"describing fighting techniques"</f>
        <v>describing fighting techniques</v>
      </c>
    </row>
    <row r="149" ht="14.25" customHeight="1">
      <c r="A149" s="1" t="str">
        <f>"Freezing"</f>
        <v>Freezing</v>
      </c>
      <c r="B149" s="1" t="str">
        <f>"8776"</f>
        <v>8776</v>
      </c>
      <c r="C149" s="1" t="str">
        <f>"Vol. 19-20"</f>
        <v>Vol. 19-20</v>
      </c>
      <c r="D149" s="1" t="str">
        <f>"Dall-Young Lim"</f>
        <v>Dall-Young Lim</v>
      </c>
      <c r="E149" s="1" t="str">
        <f t="shared" si="124"/>
        <v>31</v>
      </c>
      <c r="F149" s="1" t="str">
        <f t="shared" si="125"/>
        <v>Book</v>
      </c>
      <c r="G149" s="1" t="str">
        <f>"42437"</f>
        <v>42437</v>
      </c>
      <c r="H149" s="1" t="str">
        <f t="shared" si="127"/>
        <v>2020-09-01</v>
      </c>
      <c r="I149" s="1" t="str">
        <f t="shared" si="6"/>
        <v>2</v>
      </c>
      <c r="J149" s="1" t="str">
        <f t="shared" si="7"/>
        <v>Rejected All</v>
      </c>
      <c r="L149" s="1" t="str">
        <f>"42807"</f>
        <v>42807</v>
      </c>
      <c r="M149" s="1" t="str">
        <f>"42"</f>
        <v>42</v>
      </c>
      <c r="N149" s="1" t="str">
        <f>"containing pictorially explicit nudity"</f>
        <v>containing pictorially explicit nudity</v>
      </c>
    </row>
    <row r="150" ht="14.25" customHeight="1">
      <c r="A150" s="1" t="str">
        <f>"The Deception of Allah - A Book Muslims Don&amp;#39;t Want You to Read"</f>
        <v>The Deception of Allah - A Book Muslims Don&amp;#39;t Want You to Read</v>
      </c>
      <c r="B150" s="1" t="str">
        <f>"4500"</f>
        <v>4500</v>
      </c>
      <c r="C150" s="1" t="str">
        <f>"Volume 1"</f>
        <v>Volume 1</v>
      </c>
      <c r="D150" s="1" t="str">
        <f>"Christian Prince"</f>
        <v>Christian Prince</v>
      </c>
      <c r="E150" s="1" t="str">
        <f t="shared" si="124"/>
        <v>31</v>
      </c>
      <c r="F150" s="1" t="str">
        <f t="shared" si="125"/>
        <v>Book</v>
      </c>
      <c r="G150" s="1" t="str">
        <f>"42425"</f>
        <v>42425</v>
      </c>
      <c r="H150" s="1" t="str">
        <f t="shared" si="127"/>
        <v>2020-09-01</v>
      </c>
      <c r="I150" s="1" t="str">
        <f t="shared" si="6"/>
        <v>2</v>
      </c>
      <c r="J150" s="1" t="str">
        <f t="shared" si="7"/>
        <v>Rejected All</v>
      </c>
      <c r="L150" s="1" t="str">
        <f>"42795"</f>
        <v>42795</v>
      </c>
      <c r="M150" s="1" t="str">
        <f>"45"</f>
        <v>45</v>
      </c>
      <c r="N150" s="1" t="str">
        <f>"containing written sexually explicit material involving minors"</f>
        <v>containing written sexually explicit material involving minors</v>
      </c>
    </row>
    <row r="151" ht="14.25" customHeight="1">
      <c r="A151" s="1" t="str">
        <f>"Boxing Workouts"</f>
        <v>Boxing Workouts</v>
      </c>
      <c r="B151" s="1" t="str">
        <f>"300"</f>
        <v>300</v>
      </c>
      <c r="C151" s="1" t="str">
        <f>"#2"</f>
        <v>#2</v>
      </c>
      <c r="E151" s="1" t="str">
        <f t="shared" ref="E151:E152" si="130">"32"</f>
        <v>32</v>
      </c>
      <c r="F151" s="1" t="str">
        <f t="shared" ref="F151:F152" si="131">"Magazine/Newspaper"</f>
        <v>Magazine/Newspaper</v>
      </c>
      <c r="G151" s="1" t="str">
        <f>"42441"</f>
        <v>42441</v>
      </c>
      <c r="H151" s="1" t="str">
        <f t="shared" si="127"/>
        <v>2020-09-01</v>
      </c>
      <c r="I151" s="1" t="str">
        <f t="shared" si="6"/>
        <v>2</v>
      </c>
      <c r="J151" s="1" t="str">
        <f t="shared" si="7"/>
        <v>Rejected All</v>
      </c>
      <c r="L151" s="1" t="str">
        <f>"42811"</f>
        <v>42811</v>
      </c>
      <c r="M151" s="1" t="str">
        <f>"40"</f>
        <v>40</v>
      </c>
      <c r="N151" s="1" t="str">
        <f>"describing fighting techniques"</f>
        <v>describing fighting techniques</v>
      </c>
    </row>
    <row r="152" ht="14.25" customHeight="1">
      <c r="A152" s="1" t="str">
        <f>"Trap Ink"</f>
        <v>Trap Ink</v>
      </c>
      <c r="B152" s="1" t="str">
        <f>"8770"</f>
        <v>8770</v>
      </c>
      <c r="C152" s="1" t="str">
        <f>"MLF Tattoo Edition"</f>
        <v>MLF Tattoo Edition</v>
      </c>
      <c r="E152" s="1" t="str">
        <f t="shared" si="130"/>
        <v>32</v>
      </c>
      <c r="F152" s="1" t="str">
        <f t="shared" si="131"/>
        <v>Magazine/Newspaper</v>
      </c>
      <c r="G152" s="1" t="str">
        <f>"42427"</f>
        <v>42427</v>
      </c>
      <c r="H152" s="1" t="str">
        <f t="shared" si="127"/>
        <v>2020-09-01</v>
      </c>
      <c r="I152" s="1" t="str">
        <f t="shared" si="6"/>
        <v>2</v>
      </c>
      <c r="J152" s="1" t="str">
        <f t="shared" si="7"/>
        <v>Rejected All</v>
      </c>
      <c r="L152" s="1" t="str">
        <f>"42797"</f>
        <v>42797</v>
      </c>
      <c r="M152" s="1" t="str">
        <f>"42"</f>
        <v>42</v>
      </c>
      <c r="N152" s="1" t="str">
        <f>"containing pictorially explicit nudity"</f>
        <v>containing pictorially explicit nudity</v>
      </c>
    </row>
    <row r="153" ht="14.25" customHeight="1">
      <c r="A153" s="1" t="str">
        <f>"Tom of Finland"</f>
        <v>Tom of Finland</v>
      </c>
      <c r="B153" s="1" t="str">
        <f>"8865"</f>
        <v>8865</v>
      </c>
      <c r="C153" s="1" t="str">
        <f>"His Life and Times"</f>
        <v>His Life and Times</v>
      </c>
      <c r="D153" s="1" t="str">
        <f>"F. Valentine Hooven III"</f>
        <v>F. Valentine Hooven III</v>
      </c>
      <c r="E153" s="1" t="str">
        <f t="shared" ref="E153:E159" si="132">"31"</f>
        <v>31</v>
      </c>
      <c r="F153" s="1" t="str">
        <f t="shared" ref="F153:F159" si="133">"Book"</f>
        <v>Book</v>
      </c>
      <c r="G153" s="1" t="str">
        <f>"42769"</f>
        <v>42769</v>
      </c>
      <c r="H153" s="1" t="str">
        <f t="shared" ref="H153:H160" si="134">"2020-09-15"</f>
        <v>2020-09-15</v>
      </c>
      <c r="I153" s="1" t="str">
        <f t="shared" si="6"/>
        <v>2</v>
      </c>
      <c r="J153" s="1" t="str">
        <f t="shared" si="7"/>
        <v>Rejected All</v>
      </c>
      <c r="L153" s="1" t="str">
        <f>"43151"</f>
        <v>43151</v>
      </c>
      <c r="M153" s="1" t="str">
        <f>"43"</f>
        <v>43</v>
      </c>
      <c r="N153" s="1" t="str">
        <f>"containing written sexually explicit / sado-masochistic behavior"</f>
        <v>containing written sexually explicit / sado-masochistic behavior</v>
      </c>
    </row>
    <row r="154" ht="14.25" customHeight="1">
      <c r="A154" s="1" t="str">
        <f>"I am Raymond Washington The Authorized Biography about the Original Founder of the Crips"</f>
        <v>I am Raymond Washington The Authorized Biography about the Original Founder of the Crips</v>
      </c>
      <c r="B154" s="1" t="str">
        <f t="shared" ref="B154:B156" si="135">"0"</f>
        <v>0</v>
      </c>
      <c r="C154" s="1" t="str">
        <f t="shared" ref="C154:C156" si="136">"n/a"</f>
        <v>n/a</v>
      </c>
      <c r="D154" s="1" t="str">
        <f>"Zack Fortier"</f>
        <v>Zack Fortier</v>
      </c>
      <c r="E154" s="1" t="str">
        <f t="shared" si="132"/>
        <v>31</v>
      </c>
      <c r="F154" s="1" t="str">
        <f t="shared" si="133"/>
        <v>Book</v>
      </c>
      <c r="G154" s="1" t="str">
        <f>"42695"</f>
        <v>42695</v>
      </c>
      <c r="H154" s="1" t="str">
        <f t="shared" si="134"/>
        <v>2020-09-15</v>
      </c>
      <c r="I154" s="1" t="str">
        <f t="shared" si="6"/>
        <v>2</v>
      </c>
      <c r="J154" s="1" t="str">
        <f t="shared" si="7"/>
        <v>Rejected All</v>
      </c>
      <c r="L154" s="1" t="str">
        <f>"43071"</f>
        <v>43071</v>
      </c>
      <c r="M154" s="1" t="str">
        <f>"47"</f>
        <v>47</v>
      </c>
      <c r="N154" s="1" t="str">
        <f>"containing descriptions of security risk group material or activity"</f>
        <v>containing descriptions of security risk group material or activity</v>
      </c>
    </row>
    <row r="155" ht="14.25" customHeight="1">
      <c r="A155" s="1" t="str">
        <f>"Survival Hacks"</f>
        <v>Survival Hacks</v>
      </c>
      <c r="B155" s="1" t="str">
        <f t="shared" si="135"/>
        <v>0</v>
      </c>
      <c r="C155" s="1" t="str">
        <f t="shared" si="136"/>
        <v>n/a</v>
      </c>
      <c r="D155" s="1" t="str">
        <f>"Creek Stewart"</f>
        <v>Creek Stewart</v>
      </c>
      <c r="E155" s="1" t="str">
        <f t="shared" si="132"/>
        <v>31</v>
      </c>
      <c r="F155" s="1" t="str">
        <f t="shared" si="133"/>
        <v>Book</v>
      </c>
      <c r="G155" s="1" t="str">
        <f>"42708"</f>
        <v>42708</v>
      </c>
      <c r="H155" s="1" t="str">
        <f t="shared" si="134"/>
        <v>2020-09-15</v>
      </c>
      <c r="I155" s="1" t="str">
        <f t="shared" si="6"/>
        <v>2</v>
      </c>
      <c r="J155" s="1" t="str">
        <f t="shared" si="7"/>
        <v>Rejected All</v>
      </c>
      <c r="L155" s="1" t="str">
        <f>"43084"</f>
        <v>43084</v>
      </c>
      <c r="M155" s="1" t="str">
        <f>"39"</f>
        <v>39</v>
      </c>
      <c r="N155" s="1" t="str">
        <f>"being detrimental to security for the following reason:"</f>
        <v>being detrimental to security for the following reason:</v>
      </c>
    </row>
    <row r="156" ht="14.25" customHeight="1">
      <c r="A156" s="1" t="str">
        <f>"The Coming of the Night"</f>
        <v>The Coming of the Night</v>
      </c>
      <c r="B156" s="1" t="str">
        <f t="shared" si="135"/>
        <v>0</v>
      </c>
      <c r="C156" s="1" t="str">
        <f t="shared" si="136"/>
        <v>n/a</v>
      </c>
      <c r="D156" s="1" t="str">
        <f>"John Rechy"</f>
        <v>John Rechy</v>
      </c>
      <c r="E156" s="1" t="str">
        <f t="shared" si="132"/>
        <v>31</v>
      </c>
      <c r="F156" s="1" t="str">
        <f t="shared" si="133"/>
        <v>Book</v>
      </c>
      <c r="G156" s="1" t="str">
        <f>"42771"</f>
        <v>42771</v>
      </c>
      <c r="H156" s="1" t="str">
        <f t="shared" si="134"/>
        <v>2020-09-15</v>
      </c>
      <c r="I156" s="1" t="str">
        <f t="shared" si="6"/>
        <v>2</v>
      </c>
      <c r="J156" s="1" t="str">
        <f t="shared" si="7"/>
        <v>Rejected All</v>
      </c>
      <c r="L156" s="1" t="str">
        <f>"43153"</f>
        <v>43153</v>
      </c>
      <c r="M156" s="1" t="str">
        <f>"43"</f>
        <v>43</v>
      </c>
      <c r="N156" s="1" t="str">
        <f>"containing written sexually explicit / sado-masochistic behavior"</f>
        <v>containing written sexually explicit / sado-masochistic behavior</v>
      </c>
    </row>
    <row r="157" ht="14.25" customHeight="1">
      <c r="A157" s="1" t="str">
        <f>"The First Sisters Lil/th and Eve"</f>
        <v>The First Sisters Lil/th and Eve</v>
      </c>
      <c r="B157" s="1" t="str">
        <f>"8866"</f>
        <v>8866</v>
      </c>
      <c r="C157" s="1" t="str">
        <f>"Pagan Portals"</f>
        <v>Pagan Portals</v>
      </c>
      <c r="D157" s="1" t="str">
        <f>"Lady Haight Ashton"</f>
        <v>Lady Haight Ashton</v>
      </c>
      <c r="E157" s="1" t="str">
        <f t="shared" si="132"/>
        <v>31</v>
      </c>
      <c r="F157" s="1" t="str">
        <f t="shared" si="133"/>
        <v>Book</v>
      </c>
      <c r="G157" s="1" t="str">
        <f>"42770"</f>
        <v>42770</v>
      </c>
      <c r="H157" s="1" t="str">
        <f t="shared" si="134"/>
        <v>2020-09-15</v>
      </c>
      <c r="I157" s="1" t="str">
        <f t="shared" si="6"/>
        <v>2</v>
      </c>
      <c r="J157" s="1" t="str">
        <f t="shared" si="7"/>
        <v>Rejected All</v>
      </c>
      <c r="L157" s="1" t="str">
        <f>"43152"</f>
        <v>43152</v>
      </c>
      <c r="M157" s="1" t="str">
        <f>"42"</f>
        <v>42</v>
      </c>
      <c r="N157" s="1" t="str">
        <f>"containing pictorially explicit nudity"</f>
        <v>containing pictorially explicit nudity</v>
      </c>
    </row>
    <row r="158" ht="14.25" customHeight="1">
      <c r="A158" s="1" t="str">
        <f>"Doms Guide to BOSM"</f>
        <v>Doms Guide to BOSM</v>
      </c>
      <c r="B158" s="1" t="str">
        <f t="shared" ref="B158:B159" si="137">"4164"</f>
        <v>4164</v>
      </c>
      <c r="C158" s="1" t="str">
        <f t="shared" ref="C158:C159" si="138">"Vol. 1"</f>
        <v>Vol. 1</v>
      </c>
      <c r="D158" s="1" t="str">
        <f>"Matthew Larocco"</f>
        <v>Matthew Larocco</v>
      </c>
      <c r="E158" s="1" t="str">
        <f t="shared" si="132"/>
        <v>31</v>
      </c>
      <c r="F158" s="1" t="str">
        <f t="shared" si="133"/>
        <v>Book</v>
      </c>
      <c r="G158" s="1" t="str">
        <f>"42697"</f>
        <v>42697</v>
      </c>
      <c r="H158" s="1" t="str">
        <f t="shared" si="134"/>
        <v>2020-09-15</v>
      </c>
      <c r="I158" s="1" t="str">
        <f t="shared" si="6"/>
        <v>2</v>
      </c>
      <c r="J158" s="1" t="str">
        <f t="shared" si="7"/>
        <v>Rejected All</v>
      </c>
      <c r="L158" s="1" t="str">
        <f>"43073"</f>
        <v>43073</v>
      </c>
      <c r="M158" s="1" t="str">
        <f>"43"</f>
        <v>43</v>
      </c>
      <c r="N158" s="1" t="str">
        <f>"containing written sexually explicit / sado-masochistic behavior"</f>
        <v>containing written sexually explicit / sado-masochistic behavior</v>
      </c>
    </row>
    <row r="159" ht="14.25" customHeight="1">
      <c r="A159" s="1" t="str">
        <f>"Plus-Sized Elf"</f>
        <v>Plus-Sized Elf</v>
      </c>
      <c r="B159" s="1" t="str">
        <f t="shared" si="137"/>
        <v>4164</v>
      </c>
      <c r="C159" s="1" t="str">
        <f t="shared" si="138"/>
        <v>Vol. 1</v>
      </c>
      <c r="D159" s="1" t="str">
        <f>"Synecdoche"</f>
        <v>Synecdoche</v>
      </c>
      <c r="E159" s="1" t="str">
        <f t="shared" si="132"/>
        <v>31</v>
      </c>
      <c r="F159" s="1" t="str">
        <f t="shared" si="133"/>
        <v>Book</v>
      </c>
      <c r="G159" s="1" t="str">
        <f>"42698"</f>
        <v>42698</v>
      </c>
      <c r="H159" s="1" t="str">
        <f t="shared" si="134"/>
        <v>2020-09-15</v>
      </c>
      <c r="I159" s="1" t="str">
        <f t="shared" si="6"/>
        <v>2</v>
      </c>
      <c r="J159" s="1" t="str">
        <f t="shared" si="7"/>
        <v>Rejected All</v>
      </c>
      <c r="L159" s="1" t="str">
        <f>"43074"</f>
        <v>43074</v>
      </c>
      <c r="M159" s="1" t="str">
        <f t="shared" ref="M159:M160" si="139">"42"</f>
        <v>42</v>
      </c>
      <c r="N159" s="1" t="str">
        <f t="shared" ref="N159:N160" si="140">"containing pictorially explicit nudity"</f>
        <v>containing pictorially explicit nudity</v>
      </c>
    </row>
    <row r="160" ht="14.25" customHeight="1">
      <c r="A160" s="1" t="str">
        <f>"Tattoo Society"</f>
        <v>Tattoo Society</v>
      </c>
      <c r="B160" s="1" t="str">
        <f>"8857"</f>
        <v>8857</v>
      </c>
      <c r="C160" s="1" t="str">
        <f>"September 2020 Issue #71 Cervena Fox"</f>
        <v>September 2020 Issue #71 Cervena Fox</v>
      </c>
      <c r="E160" s="1" t="str">
        <f>"32"</f>
        <v>32</v>
      </c>
      <c r="F160" s="1" t="str">
        <f>"Magazine/Newspaper"</f>
        <v>Magazine/Newspaper</v>
      </c>
      <c r="G160" s="1" t="str">
        <f>"42713"</f>
        <v>42713</v>
      </c>
      <c r="H160" s="1" t="str">
        <f t="shared" si="134"/>
        <v>2020-09-15</v>
      </c>
      <c r="I160" s="1" t="str">
        <f t="shared" si="6"/>
        <v>2</v>
      </c>
      <c r="J160" s="1" t="str">
        <f t="shared" si="7"/>
        <v>Rejected All</v>
      </c>
      <c r="L160" s="1" t="str">
        <f>"43089"</f>
        <v>43089</v>
      </c>
      <c r="M160" s="1" t="str">
        <f t="shared" si="139"/>
        <v>42</v>
      </c>
      <c r="N160" s="1" t="str">
        <f t="shared" si="140"/>
        <v>containing pictorially explicit nudity</v>
      </c>
    </row>
    <row r="161" ht="14.25" customHeight="1">
      <c r="A161" s="1" t="str">
        <f>"Symbology: The Psychological Covert War On Hip Hop"</f>
        <v>Symbology: The Psychological Covert War On Hip Hop</v>
      </c>
      <c r="B161" s="1" t="str">
        <f>"1271"</f>
        <v>1271</v>
      </c>
      <c r="C161" s="1" t="str">
        <f>"Book 2"</f>
        <v>Book 2</v>
      </c>
      <c r="D161" s="1" t="str">
        <f>"Professor Griff"</f>
        <v>Professor Griff</v>
      </c>
      <c r="E161" s="1" t="str">
        <f t="shared" ref="E161:E186" si="141">"31"</f>
        <v>31</v>
      </c>
      <c r="F161" s="1" t="str">
        <f t="shared" ref="F161:F186" si="142">"Book"</f>
        <v>Book</v>
      </c>
      <c r="G161" s="1" t="str">
        <f>"42907"</f>
        <v>42907</v>
      </c>
      <c r="H161" s="1" t="str">
        <f t="shared" ref="H161:H172" si="143">"2020-10-06"</f>
        <v>2020-10-06</v>
      </c>
      <c r="I161" s="1" t="str">
        <f t="shared" si="6"/>
        <v>2</v>
      </c>
      <c r="J161" s="1" t="str">
        <f t="shared" si="7"/>
        <v>Rejected All</v>
      </c>
      <c r="L161" s="1" t="str">
        <f>"43292"</f>
        <v>43292</v>
      </c>
      <c r="M161" s="1" t="str">
        <f>"47"</f>
        <v>47</v>
      </c>
      <c r="N161" s="1" t="str">
        <f>"containing descriptions of security risk group material or activity"</f>
        <v>containing descriptions of security risk group material or activity</v>
      </c>
    </row>
    <row r="162" ht="14.25" customHeight="1">
      <c r="A162" s="1" t="str">
        <f>"Renegade Boys: Death by Destruction"</f>
        <v>Renegade Boys: Death by Destruction</v>
      </c>
      <c r="B162" s="1" t="str">
        <f>"7821"</f>
        <v>7821</v>
      </c>
      <c r="C162" s="1" t="str">
        <f>"Book 4"</f>
        <v>Book 4</v>
      </c>
      <c r="D162" s="1" t="str">
        <f>"Meesha"</f>
        <v>Meesha</v>
      </c>
      <c r="E162" s="1" t="str">
        <f t="shared" si="141"/>
        <v>31</v>
      </c>
      <c r="F162" s="1" t="str">
        <f t="shared" si="142"/>
        <v>Book</v>
      </c>
      <c r="G162" s="1" t="str">
        <f>"42884"</f>
        <v>42884</v>
      </c>
      <c r="H162" s="1" t="str">
        <f t="shared" si="143"/>
        <v>2020-10-06</v>
      </c>
      <c r="I162" s="1" t="str">
        <f t="shared" si="6"/>
        <v>2</v>
      </c>
      <c r="J162" s="1" t="str">
        <f t="shared" si="7"/>
        <v>Rejected All</v>
      </c>
      <c r="L162" s="1" t="str">
        <f>"43267"</f>
        <v>43267</v>
      </c>
      <c r="M162" s="1" t="str">
        <f>"46"</f>
        <v>46</v>
      </c>
      <c r="N162" s="1" t="str">
        <f>"containing written sexually explicit material involving the use of force or non-consent"</f>
        <v>containing written sexually explicit material involving the use of force or non-consent</v>
      </c>
    </row>
    <row r="163" ht="14.25" customHeight="1">
      <c r="A163" s="1" t="str">
        <f>"A Taste for Brown Sugar"</f>
        <v>A Taste for Brown Sugar</v>
      </c>
      <c r="B163" s="1" t="str">
        <f t="shared" ref="B163:B170" si="144">"0"</f>
        <v>0</v>
      </c>
      <c r="C163" s="1" t="str">
        <f t="shared" ref="C163:C170" si="145">"n/a"</f>
        <v>n/a</v>
      </c>
      <c r="D163" s="1" t="str">
        <f>"Mireille Miller-Young"</f>
        <v>Mireille Miller-Young</v>
      </c>
      <c r="E163" s="1" t="str">
        <f t="shared" si="141"/>
        <v>31</v>
      </c>
      <c r="F163" s="1" t="str">
        <f t="shared" si="142"/>
        <v>Book</v>
      </c>
      <c r="G163" s="1" t="str">
        <f>"42864"</f>
        <v>42864</v>
      </c>
      <c r="H163" s="1" t="str">
        <f t="shared" si="143"/>
        <v>2020-10-06</v>
      </c>
      <c r="I163" s="1" t="str">
        <f t="shared" si="6"/>
        <v>2</v>
      </c>
      <c r="J163" s="1" t="str">
        <f t="shared" si="7"/>
        <v>Rejected All</v>
      </c>
      <c r="L163" s="1" t="str">
        <f>"43246"</f>
        <v>43246</v>
      </c>
      <c r="M163" s="1" t="str">
        <f>"42"</f>
        <v>42</v>
      </c>
      <c r="N163" s="1" t="str">
        <f>"containing pictorially explicit nudity"</f>
        <v>containing pictorially explicit nudity</v>
      </c>
    </row>
    <row r="164" ht="14.25" customHeight="1">
      <c r="A164" s="1" t="str">
        <f>"Different Loving"</f>
        <v>Different Loving</v>
      </c>
      <c r="B164" s="1" t="str">
        <f t="shared" si="144"/>
        <v>0</v>
      </c>
      <c r="C164" s="1" t="str">
        <f t="shared" si="145"/>
        <v>n/a</v>
      </c>
      <c r="D164" s="1" t="s">
        <v>5</v>
      </c>
      <c r="E164" s="1" t="str">
        <f t="shared" si="141"/>
        <v>31</v>
      </c>
      <c r="F164" s="1" t="str">
        <f t="shared" si="142"/>
        <v>Book</v>
      </c>
      <c r="G164" s="1" t="str">
        <f>"42874"</f>
        <v>42874</v>
      </c>
      <c r="H164" s="1" t="str">
        <f t="shared" si="143"/>
        <v>2020-10-06</v>
      </c>
      <c r="I164" s="1" t="str">
        <f t="shared" si="6"/>
        <v>2</v>
      </c>
      <c r="J164" s="1" t="str">
        <f t="shared" si="7"/>
        <v>Rejected All</v>
      </c>
      <c r="L164" s="1" t="str">
        <f>"43256"</f>
        <v>43256</v>
      </c>
      <c r="M164" s="1" t="str">
        <f>"43"</f>
        <v>43</v>
      </c>
      <c r="N164" s="1" t="str">
        <f>"containing written sexually explicit / sado-masochistic behavior"</f>
        <v>containing written sexually explicit / sado-masochistic behavior</v>
      </c>
    </row>
    <row r="165" ht="14.25" customHeight="1">
      <c r="A165" s="1" t="str">
        <f>"Tales of Ordinary Madness"</f>
        <v>Tales of Ordinary Madness</v>
      </c>
      <c r="B165" s="1" t="str">
        <f t="shared" si="144"/>
        <v>0</v>
      </c>
      <c r="C165" s="1" t="str">
        <f t="shared" si="145"/>
        <v>n/a</v>
      </c>
      <c r="D165" s="1" t="str">
        <f>"Charles Bukowski"</f>
        <v>Charles Bukowski</v>
      </c>
      <c r="E165" s="1" t="str">
        <f t="shared" si="141"/>
        <v>31</v>
      </c>
      <c r="F165" s="1" t="str">
        <f t="shared" si="142"/>
        <v>Book</v>
      </c>
      <c r="G165" s="1" t="str">
        <f>"10944"</f>
        <v>10944</v>
      </c>
      <c r="H165" s="1" t="str">
        <f t="shared" si="143"/>
        <v>2020-10-06</v>
      </c>
      <c r="I165" s="1" t="str">
        <f t="shared" si="6"/>
        <v>2</v>
      </c>
      <c r="J165" s="1" t="str">
        <f t="shared" si="7"/>
        <v>Rejected All</v>
      </c>
      <c r="L165" s="1" t="str">
        <f>"43257"</f>
        <v>43257</v>
      </c>
      <c r="M165" s="1" t="str">
        <f>"46"</f>
        <v>46</v>
      </c>
      <c r="N165" s="1" t="str">
        <f>"containing written sexually explicit material involving the use of force or non-consent"</f>
        <v>containing written sexually explicit material involving the use of force or non-consent</v>
      </c>
    </row>
    <row r="166" ht="14.25" customHeight="1">
      <c r="A166" s="1" t="str">
        <f>"Berries"</f>
        <v>Berries</v>
      </c>
      <c r="B166" s="1" t="str">
        <f t="shared" si="144"/>
        <v>0</v>
      </c>
      <c r="C166" s="1" t="str">
        <f t="shared" si="145"/>
        <v>n/a</v>
      </c>
      <c r="D166" s="1" t="str">
        <f>"Roger Yepsen"</f>
        <v>Roger Yepsen</v>
      </c>
      <c r="E166" s="1" t="str">
        <f t="shared" si="141"/>
        <v>31</v>
      </c>
      <c r="F166" s="1" t="str">
        <f t="shared" si="142"/>
        <v>Book</v>
      </c>
      <c r="G166" s="1" t="str">
        <f>"42880"</f>
        <v>42880</v>
      </c>
      <c r="H166" s="1" t="str">
        <f t="shared" si="143"/>
        <v>2020-10-06</v>
      </c>
      <c r="I166" s="1" t="str">
        <f t="shared" si="6"/>
        <v>2</v>
      </c>
      <c r="J166" s="1" t="str">
        <f t="shared" si="7"/>
        <v>Rejected All</v>
      </c>
      <c r="L166" s="1" t="str">
        <f>"43263"</f>
        <v>43263</v>
      </c>
      <c r="M166" s="1" t="str">
        <f>"7"</f>
        <v>7</v>
      </c>
      <c r="N166" s="1" t="str">
        <f>"describing procedures to brew alcohol or manufacture drugs"</f>
        <v>describing procedures to brew alcohol or manufacture drugs</v>
      </c>
    </row>
    <row r="167" ht="14.25" customHeight="1">
      <c r="A167" s="1" t="str">
        <f>"The Incurable Romantic and Other Tales of Madness and Desire"</f>
        <v>The Incurable Romantic and Other Tales of Madness and Desire</v>
      </c>
      <c r="B167" s="1" t="str">
        <f t="shared" si="144"/>
        <v>0</v>
      </c>
      <c r="C167" s="1" t="str">
        <f t="shared" si="145"/>
        <v>n/a</v>
      </c>
      <c r="D167" s="1" t="str">
        <f>"Frank Tallis"</f>
        <v>Frank Tallis</v>
      </c>
      <c r="E167" s="1" t="str">
        <f t="shared" si="141"/>
        <v>31</v>
      </c>
      <c r="F167" s="1" t="str">
        <f t="shared" si="142"/>
        <v>Book</v>
      </c>
      <c r="G167" s="1" t="str">
        <f>"42887"</f>
        <v>42887</v>
      </c>
      <c r="H167" s="1" t="str">
        <f t="shared" si="143"/>
        <v>2020-10-06</v>
      </c>
      <c r="I167" s="1" t="str">
        <f t="shared" si="6"/>
        <v>2</v>
      </c>
      <c r="J167" s="1" t="str">
        <f t="shared" si="7"/>
        <v>Rejected All</v>
      </c>
      <c r="L167" s="1" t="str">
        <f>"43270"</f>
        <v>43270</v>
      </c>
      <c r="M167" s="1" t="str">
        <f>"45"</f>
        <v>45</v>
      </c>
      <c r="N167" s="1" t="str">
        <f>"containing written sexually explicit material involving minors"</f>
        <v>containing written sexually explicit material involving minors</v>
      </c>
    </row>
    <row r="168" ht="14.25" customHeight="1">
      <c r="A168" s="1" t="str">
        <f>"Hell&amp;#39;s Angels"</f>
        <v>Hell&amp;#39;s Angels</v>
      </c>
      <c r="B168" s="1" t="str">
        <f t="shared" si="144"/>
        <v>0</v>
      </c>
      <c r="C168" s="1" t="str">
        <f t="shared" si="145"/>
        <v>n/a</v>
      </c>
      <c r="D168" s="1" t="str">
        <f>"Hunter S. Thompson"</f>
        <v>Hunter S. Thompson</v>
      </c>
      <c r="E168" s="1" t="str">
        <f t="shared" si="141"/>
        <v>31</v>
      </c>
      <c r="F168" s="1" t="str">
        <f t="shared" si="142"/>
        <v>Book</v>
      </c>
      <c r="G168" s="1" t="str">
        <f>"6192"</f>
        <v>6192</v>
      </c>
      <c r="H168" s="1" t="str">
        <f t="shared" si="143"/>
        <v>2020-10-06</v>
      </c>
      <c r="I168" s="1" t="str">
        <f t="shared" si="6"/>
        <v>2</v>
      </c>
      <c r="J168" s="1" t="str">
        <f t="shared" si="7"/>
        <v>Rejected All</v>
      </c>
      <c r="L168" s="1" t="str">
        <f>"43276"</f>
        <v>43276</v>
      </c>
      <c r="M168" s="1" t="str">
        <f>"47"</f>
        <v>47</v>
      </c>
      <c r="N168" s="1" t="str">
        <f>"containing descriptions of security risk group material or activity"</f>
        <v>containing descriptions of security risk group material or activity</v>
      </c>
    </row>
    <row r="169" ht="14.25" customHeight="1">
      <c r="A169" s="1" t="str">
        <f>"Ignition"</f>
        <v>Ignition</v>
      </c>
      <c r="B169" s="1" t="str">
        <f t="shared" si="144"/>
        <v>0</v>
      </c>
      <c r="C169" s="1" t="str">
        <f t="shared" si="145"/>
        <v>n/a</v>
      </c>
      <c r="D169" s="1" t="str">
        <f>"John D. Clark"</f>
        <v>John D. Clark</v>
      </c>
      <c r="E169" s="1" t="str">
        <f t="shared" si="141"/>
        <v>31</v>
      </c>
      <c r="F169" s="1" t="str">
        <f t="shared" si="142"/>
        <v>Book</v>
      </c>
      <c r="G169" s="1" t="str">
        <f>"42894"</f>
        <v>42894</v>
      </c>
      <c r="H169" s="1" t="str">
        <f t="shared" si="143"/>
        <v>2020-10-06</v>
      </c>
      <c r="I169" s="1" t="str">
        <f t="shared" si="6"/>
        <v>2</v>
      </c>
      <c r="J169" s="1" t="str">
        <f t="shared" si="7"/>
        <v>Rejected All</v>
      </c>
      <c r="L169" s="1" t="str">
        <f>"43279"</f>
        <v>43279</v>
      </c>
      <c r="M169" s="1" t="str">
        <f>"39"</f>
        <v>39</v>
      </c>
      <c r="N169" s="1" t="str">
        <f>"being detrimental to security for the following reason:"</f>
        <v>being detrimental to security for the following reason:</v>
      </c>
    </row>
    <row r="170" ht="14.25" customHeight="1">
      <c r="A170" s="1" t="s">
        <v>6</v>
      </c>
      <c r="B170" s="1" t="str">
        <f t="shared" si="144"/>
        <v>0</v>
      </c>
      <c r="C170" s="1" t="str">
        <f t="shared" si="145"/>
        <v>n/a</v>
      </c>
      <c r="D170" s="1" t="str">
        <f>"Mimi"</f>
        <v>Mimi</v>
      </c>
      <c r="E170" s="1" t="str">
        <f t="shared" si="141"/>
        <v>31</v>
      </c>
      <c r="F170" s="1" t="str">
        <f t="shared" si="142"/>
        <v>Book</v>
      </c>
      <c r="G170" s="1" t="str">
        <f>"42900"</f>
        <v>42900</v>
      </c>
      <c r="H170" s="1" t="str">
        <f t="shared" si="143"/>
        <v>2020-10-06</v>
      </c>
      <c r="I170" s="1" t="str">
        <f t="shared" si="6"/>
        <v>2</v>
      </c>
      <c r="J170" s="1" t="str">
        <f t="shared" si="7"/>
        <v>Rejected All</v>
      </c>
      <c r="L170" s="1" t="str">
        <f>"43285"</f>
        <v>43285</v>
      </c>
      <c r="M170" s="1" t="str">
        <f>"46"</f>
        <v>46</v>
      </c>
      <c r="N170" s="1" t="str">
        <f>"containing written sexually explicit material involving the use of force or non-consent"</f>
        <v>containing written sexually explicit material involving the use of force or non-consent</v>
      </c>
    </row>
    <row r="171" ht="14.25" customHeight="1">
      <c r="A171" s="1" t="str">
        <f>"Healing the Wounds"</f>
        <v>Healing the Wounds</v>
      </c>
      <c r="B171" s="1" t="str">
        <f>"8875"</f>
        <v>8875</v>
      </c>
      <c r="C171" s="1" t="str">
        <f>"Neighborly Affection Book Three"</f>
        <v>Neighborly Affection Book Three</v>
      </c>
      <c r="D171" s="1" t="str">
        <f>"M. Q. Barber"</f>
        <v>M. Q. Barber</v>
      </c>
      <c r="E171" s="1" t="str">
        <f t="shared" si="141"/>
        <v>31</v>
      </c>
      <c r="F171" s="1" t="str">
        <f t="shared" si="142"/>
        <v>Book</v>
      </c>
      <c r="G171" s="1" t="str">
        <f>"42832"</f>
        <v>42832</v>
      </c>
      <c r="H171" s="1" t="str">
        <f t="shared" si="143"/>
        <v>2020-10-06</v>
      </c>
      <c r="I171" s="1" t="str">
        <f t="shared" si="6"/>
        <v>2</v>
      </c>
      <c r="J171" s="1" t="str">
        <f t="shared" si="7"/>
        <v>Rejected All</v>
      </c>
      <c r="L171" s="1" t="str">
        <f>"43213"</f>
        <v>43213</v>
      </c>
      <c r="M171" s="1" t="str">
        <f t="shared" ref="M171:M172" si="146">"43"</f>
        <v>43</v>
      </c>
      <c r="N171" s="1" t="str">
        <f t="shared" ref="N171:N172" si="147">"containing written sexually explicit / sado-masochistic behavior"</f>
        <v>containing written sexually explicit / sado-masochistic behavior</v>
      </c>
    </row>
    <row r="172" ht="14.25" customHeight="1">
      <c r="A172" s="1" t="str">
        <f>"Uniform Erotica"</f>
        <v>Uniform Erotica</v>
      </c>
      <c r="B172" s="1" t="str">
        <f>"8913"</f>
        <v>8913</v>
      </c>
      <c r="C172" s="1" t="str">
        <f>"Sex and Seduction in 40 Erotic Encounters"</f>
        <v>Sex and Seduction in 40 Erotic Encounters</v>
      </c>
      <c r="D172" s="1" t="str">
        <f>"Barbara Candy"</f>
        <v>Barbara Candy</v>
      </c>
      <c r="E172" s="1" t="str">
        <f t="shared" si="141"/>
        <v>31</v>
      </c>
      <c r="F172" s="1" t="str">
        <f t="shared" si="142"/>
        <v>Book</v>
      </c>
      <c r="G172" s="1" t="str">
        <f>"42793"</f>
        <v>42793</v>
      </c>
      <c r="H172" s="1" t="str">
        <f t="shared" si="143"/>
        <v>2020-10-06</v>
      </c>
      <c r="I172" s="1" t="str">
        <f t="shared" si="6"/>
        <v>2</v>
      </c>
      <c r="J172" s="1" t="str">
        <f t="shared" si="7"/>
        <v>Rejected All</v>
      </c>
      <c r="L172" s="1" t="str">
        <f>"43174"</f>
        <v>43174</v>
      </c>
      <c r="M172" s="1" t="str">
        <f t="shared" si="146"/>
        <v>43</v>
      </c>
      <c r="N172" s="1" t="str">
        <f t="shared" si="147"/>
        <v>containing written sexually explicit / sado-masochistic behavior</v>
      </c>
    </row>
    <row r="173" ht="14.25" customHeight="1">
      <c r="A173" s="1" t="str">
        <f>"The Worst-Case Scenario Survival Handbook"</f>
        <v>The Worst-Case Scenario Survival Handbook</v>
      </c>
      <c r="B173" s="1" t="str">
        <f>"8912"</f>
        <v>8912</v>
      </c>
      <c r="C173" s="1" t="str">
        <f>"Expert Advice for Extreme Situations"</f>
        <v>Expert Advice for Extreme Situations</v>
      </c>
      <c r="D173" s="1" t="str">
        <f>"Joshua Piven and David Borgenicht"</f>
        <v>Joshua Piven and David Borgenicht</v>
      </c>
      <c r="E173" s="1" t="str">
        <f t="shared" si="141"/>
        <v>31</v>
      </c>
      <c r="F173" s="1" t="str">
        <f t="shared" si="142"/>
        <v>Book</v>
      </c>
      <c r="G173" s="1" t="str">
        <f>"43006"</f>
        <v>43006</v>
      </c>
      <c r="H173" s="1" t="str">
        <f t="shared" ref="H173:H177" si="148">"2020-10-20"</f>
        <v>2020-10-20</v>
      </c>
      <c r="I173" s="1" t="str">
        <f t="shared" si="6"/>
        <v>2</v>
      </c>
      <c r="J173" s="1" t="str">
        <f t="shared" si="7"/>
        <v>Rejected All</v>
      </c>
      <c r="L173" s="1" t="str">
        <f>"43392"</f>
        <v>43392</v>
      </c>
      <c r="M173" s="1" t="str">
        <f>"10"</f>
        <v>10</v>
      </c>
      <c r="N173" s="1" t="str">
        <f>"encouraging or instructing on the commision of criminal activity"</f>
        <v>encouraging or instructing on the commision of criminal activity</v>
      </c>
    </row>
    <row r="174" ht="14.25" customHeight="1">
      <c r="A174" s="1" t="str">
        <f>"Dirty Heat"</f>
        <v>Dirty Heat</v>
      </c>
      <c r="B174" s="1" t="str">
        <f t="shared" ref="B174:B177" si="149">"0"</f>
        <v>0</v>
      </c>
      <c r="C174" s="1" t="str">
        <f t="shared" ref="C174:C177" si="150">"n/a"</f>
        <v>n/a</v>
      </c>
      <c r="D174" s="1" t="str">
        <f>"Cairo"</f>
        <v>Cairo</v>
      </c>
      <c r="E174" s="1" t="str">
        <f t="shared" si="141"/>
        <v>31</v>
      </c>
      <c r="F174" s="1" t="str">
        <f t="shared" si="142"/>
        <v>Book</v>
      </c>
      <c r="G174" s="1" t="str">
        <f>"42966"</f>
        <v>42966</v>
      </c>
      <c r="H174" s="1" t="str">
        <f t="shared" si="148"/>
        <v>2020-10-20</v>
      </c>
      <c r="I174" s="1" t="str">
        <f t="shared" si="6"/>
        <v>2</v>
      </c>
      <c r="J174" s="1" t="str">
        <f t="shared" si="7"/>
        <v>Rejected All</v>
      </c>
      <c r="L174" s="1" t="str">
        <f>"43352"</f>
        <v>43352</v>
      </c>
      <c r="M174" s="1" t="str">
        <f>"43"</f>
        <v>43</v>
      </c>
      <c r="N174" s="1" t="str">
        <f>"containing written sexually explicit / sado-masochistic behavior"</f>
        <v>containing written sexually explicit / sado-masochistic behavior</v>
      </c>
    </row>
    <row r="175" ht="14.25" customHeight="1">
      <c r="A175" s="1" t="str">
        <f>"Black Girl Lost"</f>
        <v>Black Girl Lost</v>
      </c>
      <c r="B175" s="1" t="str">
        <f t="shared" si="149"/>
        <v>0</v>
      </c>
      <c r="C175" s="1" t="str">
        <f t="shared" si="150"/>
        <v>n/a</v>
      </c>
      <c r="D175" s="1" t="str">
        <f t="shared" ref="D175:D176" si="151">"Donald Goines"</f>
        <v>Donald Goines</v>
      </c>
      <c r="E175" s="1" t="str">
        <f t="shared" si="141"/>
        <v>31</v>
      </c>
      <c r="F175" s="1" t="str">
        <f t="shared" si="142"/>
        <v>Book</v>
      </c>
      <c r="G175" s="1" t="str">
        <f>"42981"</f>
        <v>42981</v>
      </c>
      <c r="H175" s="1" t="str">
        <f t="shared" si="148"/>
        <v>2020-10-20</v>
      </c>
      <c r="I175" s="1" t="str">
        <f t="shared" si="6"/>
        <v>2</v>
      </c>
      <c r="J175" s="1" t="str">
        <f t="shared" si="7"/>
        <v>Rejected All</v>
      </c>
      <c r="L175" s="1" t="str">
        <f>"43367"</f>
        <v>43367</v>
      </c>
      <c r="M175" s="1" t="str">
        <f t="shared" ref="M175:M176" si="152">"46"</f>
        <v>46</v>
      </c>
      <c r="N175" s="1" t="str">
        <f t="shared" ref="N175:N176" si="153">"containing written sexually explicit material involving the use of force or non-consent"</f>
        <v>containing written sexually explicit material involving the use of force or non-consent</v>
      </c>
    </row>
    <row r="176" ht="14.25" customHeight="1">
      <c r="A176" s="1" t="str">
        <f>"Swamp Man"</f>
        <v>Swamp Man</v>
      </c>
      <c r="B176" s="1" t="str">
        <f t="shared" si="149"/>
        <v>0</v>
      </c>
      <c r="C176" s="1" t="str">
        <f t="shared" si="150"/>
        <v>n/a</v>
      </c>
      <c r="D176" s="1" t="str">
        <f t="shared" si="151"/>
        <v>Donald Goines</v>
      </c>
      <c r="E176" s="1" t="str">
        <f t="shared" si="141"/>
        <v>31</v>
      </c>
      <c r="F176" s="1" t="str">
        <f t="shared" si="142"/>
        <v>Book</v>
      </c>
      <c r="G176" s="1" t="str">
        <f>"42986"</f>
        <v>42986</v>
      </c>
      <c r="H176" s="1" t="str">
        <f t="shared" si="148"/>
        <v>2020-10-20</v>
      </c>
      <c r="I176" s="1" t="str">
        <f t="shared" si="6"/>
        <v>2</v>
      </c>
      <c r="J176" s="1" t="str">
        <f t="shared" si="7"/>
        <v>Rejected All</v>
      </c>
      <c r="L176" s="1" t="str">
        <f>"43372"</f>
        <v>43372</v>
      </c>
      <c r="M176" s="1" t="str">
        <f t="shared" si="152"/>
        <v>46</v>
      </c>
      <c r="N176" s="1" t="str">
        <f t="shared" si="153"/>
        <v>containing written sexually explicit material involving the use of force or non-consent</v>
      </c>
    </row>
    <row r="177" ht="14.25" customHeight="1">
      <c r="A177" s="1" t="str">
        <f>"The Testament of Sister New Devil: STORM Rated Mature"</f>
        <v>The Testament of Sister New Devil: STORM Rated Mature</v>
      </c>
      <c r="B177" s="1" t="str">
        <f t="shared" si="149"/>
        <v>0</v>
      </c>
      <c r="C177" s="1" t="str">
        <f t="shared" si="150"/>
        <v>n/a</v>
      </c>
      <c r="D177" s="1" t="str">
        <f>"Tesuto Uesu"</f>
        <v>Tesuto Uesu</v>
      </c>
      <c r="E177" s="1" t="str">
        <f t="shared" si="141"/>
        <v>31</v>
      </c>
      <c r="F177" s="1" t="str">
        <f t="shared" si="142"/>
        <v>Book</v>
      </c>
      <c r="G177" s="1" t="str">
        <f>"43040"</f>
        <v>43040</v>
      </c>
      <c r="H177" s="1" t="str">
        <f t="shared" si="148"/>
        <v>2020-10-20</v>
      </c>
      <c r="I177" s="1" t="str">
        <f t="shared" si="6"/>
        <v>2</v>
      </c>
      <c r="J177" s="1" t="str">
        <f t="shared" si="7"/>
        <v>Rejected All</v>
      </c>
      <c r="L177" s="1" t="str">
        <f>"43426"</f>
        <v>43426</v>
      </c>
      <c r="M177" s="1" t="str">
        <f>"42"</f>
        <v>42</v>
      </c>
      <c r="N177" s="1" t="str">
        <f>"containing pictorially explicit nudity"</f>
        <v>containing pictorially explicit nudity</v>
      </c>
    </row>
    <row r="178" ht="14.25" customHeight="1">
      <c r="A178" s="1" t="str">
        <f>"Vagina University"</f>
        <v>Vagina University</v>
      </c>
      <c r="B178" s="1" t="str">
        <f>"8942"</f>
        <v>8942</v>
      </c>
      <c r="C178" s="1" t="str">
        <f>"A Complete Owner&amp;#39;s Manual"</f>
        <v>A Complete Owner&amp;#39;s Manual</v>
      </c>
      <c r="D178" s="1" t="str">
        <f>"Women&amp;#39;s Health"</f>
        <v>Women&amp;#39;s Health</v>
      </c>
      <c r="E178" s="1" t="str">
        <f t="shared" si="141"/>
        <v>31</v>
      </c>
      <c r="F178" s="1" t="str">
        <f t="shared" si="142"/>
        <v>Book</v>
      </c>
      <c r="G178" s="1" t="str">
        <f>"43077"</f>
        <v>43077</v>
      </c>
      <c r="H178" s="1" t="str">
        <f t="shared" ref="H178:H188" si="154">"2020-11-03"</f>
        <v>2020-11-03</v>
      </c>
      <c r="I178" s="1" t="str">
        <f t="shared" si="6"/>
        <v>2</v>
      </c>
      <c r="J178" s="1" t="str">
        <f t="shared" si="7"/>
        <v>Rejected All</v>
      </c>
      <c r="L178" s="1" t="str">
        <f>"43464"</f>
        <v>43464</v>
      </c>
      <c r="M178" s="1" t="str">
        <f t="shared" ref="M178:M180" si="155">"41"</f>
        <v>41</v>
      </c>
      <c r="N178" s="1" t="str">
        <f t="shared" ref="N178:N180" si="156">"containing pictorially explicit sexual activity"</f>
        <v>containing pictorially explicit sexual activity</v>
      </c>
    </row>
    <row r="179" ht="14.25" customHeight="1">
      <c r="A179" s="1" t="str">
        <f>"The Best Oral Sex Ever"</f>
        <v>The Best Oral Sex Ever</v>
      </c>
      <c r="B179" s="1" t="str">
        <f>"8971"</f>
        <v>8971</v>
      </c>
      <c r="C179" s="1" t="str">
        <f>"His Guide to Going Down"</f>
        <v>His Guide to Going Down</v>
      </c>
      <c r="D179" s="1" t="str">
        <f>"Yvonne K. Fulbright"</f>
        <v>Yvonne K. Fulbright</v>
      </c>
      <c r="E179" s="1" t="str">
        <f t="shared" si="141"/>
        <v>31</v>
      </c>
      <c r="F179" s="1" t="str">
        <f t="shared" si="142"/>
        <v>Book</v>
      </c>
      <c r="G179" s="1" t="str">
        <f>"43142"</f>
        <v>43142</v>
      </c>
      <c r="H179" s="1" t="str">
        <f t="shared" si="154"/>
        <v>2020-11-03</v>
      </c>
      <c r="I179" s="1" t="str">
        <f t="shared" si="6"/>
        <v>2</v>
      </c>
      <c r="J179" s="1" t="str">
        <f t="shared" si="7"/>
        <v>Rejected All</v>
      </c>
      <c r="L179" s="1" t="str">
        <f>"43531"</f>
        <v>43531</v>
      </c>
      <c r="M179" s="1" t="str">
        <f t="shared" si="155"/>
        <v>41</v>
      </c>
      <c r="N179" s="1" t="str">
        <f t="shared" si="156"/>
        <v>containing pictorially explicit sexual activity</v>
      </c>
    </row>
    <row r="180" ht="14.25" customHeight="1">
      <c r="A180" s="1" t="str">
        <f>"How to Eat Pussy"</f>
        <v>How to Eat Pussy</v>
      </c>
      <c r="B180" s="1" t="str">
        <f>"8970"</f>
        <v>8970</v>
      </c>
      <c r="C180" s="1" t="str">
        <f>"Little Red Book Presents"</f>
        <v>Little Red Book Presents</v>
      </c>
      <c r="D180" s="1" t="str">
        <f>"Little Red Book "</f>
        <v>Little Red Book </v>
      </c>
      <c r="E180" s="1" t="str">
        <f t="shared" si="141"/>
        <v>31</v>
      </c>
      <c r="F180" s="1" t="str">
        <f t="shared" si="142"/>
        <v>Book</v>
      </c>
      <c r="G180" s="1" t="str">
        <f>"43141"</f>
        <v>43141</v>
      </c>
      <c r="H180" s="1" t="str">
        <f t="shared" si="154"/>
        <v>2020-11-03</v>
      </c>
      <c r="I180" s="1" t="str">
        <f t="shared" si="6"/>
        <v>2</v>
      </c>
      <c r="J180" s="1" t="str">
        <f t="shared" si="7"/>
        <v>Rejected All</v>
      </c>
      <c r="L180" s="1" t="str">
        <f>"43530"</f>
        <v>43530</v>
      </c>
      <c r="M180" s="1" t="str">
        <f t="shared" si="155"/>
        <v>41</v>
      </c>
      <c r="N180" s="1" t="str">
        <f t="shared" si="156"/>
        <v>containing pictorially explicit sexual activity</v>
      </c>
    </row>
    <row r="181" ht="14.25" customHeight="1">
      <c r="A181" s="1" t="s">
        <v>7</v>
      </c>
      <c r="B181" s="1" t="str">
        <f t="shared" ref="B181:B185" si="157">"0"</f>
        <v>0</v>
      </c>
      <c r="C181" s="1" t="str">
        <f t="shared" ref="C181:C185" si="158">"n/a"</f>
        <v>n/a</v>
      </c>
      <c r="D181" s="1" t="str">
        <f>"Ralph &amp;quot;Sonny&amp;quot; Barger"</f>
        <v>Ralph &amp;quot;Sonny&amp;quot; Barger</v>
      </c>
      <c r="E181" s="1" t="str">
        <f t="shared" si="141"/>
        <v>31</v>
      </c>
      <c r="F181" s="1" t="str">
        <f t="shared" si="142"/>
        <v>Book</v>
      </c>
      <c r="G181" s="1" t="str">
        <f>"10022"</f>
        <v>10022</v>
      </c>
      <c r="H181" s="1" t="str">
        <f t="shared" si="154"/>
        <v>2020-11-03</v>
      </c>
      <c r="I181" s="1" t="str">
        <f t="shared" si="6"/>
        <v>2</v>
      </c>
      <c r="J181" s="1" t="str">
        <f t="shared" si="7"/>
        <v>Rejected All</v>
      </c>
      <c r="L181" s="1" t="str">
        <f>"43513"</f>
        <v>43513</v>
      </c>
      <c r="M181" s="1" t="str">
        <f>"47"</f>
        <v>47</v>
      </c>
      <c r="N181" s="1" t="str">
        <f>"containing descriptions of security risk group material or activity"</f>
        <v>containing descriptions of security risk group material or activity</v>
      </c>
    </row>
    <row r="182" ht="14.25" customHeight="1">
      <c r="A182" s="1" t="str">
        <f>"One Long Night"</f>
        <v>One Long Night</v>
      </c>
      <c r="B182" s="1" t="str">
        <f t="shared" si="157"/>
        <v>0</v>
      </c>
      <c r="C182" s="1" t="str">
        <f t="shared" si="158"/>
        <v>n/a</v>
      </c>
      <c r="D182" s="1" t="str">
        <f>"Andrea Pitzer"</f>
        <v>Andrea Pitzer</v>
      </c>
      <c r="E182" s="1" t="str">
        <f t="shared" si="141"/>
        <v>31</v>
      </c>
      <c r="F182" s="1" t="str">
        <f t="shared" si="142"/>
        <v>Book</v>
      </c>
      <c r="G182" s="1" t="str">
        <f>"43146"</f>
        <v>43146</v>
      </c>
      <c r="H182" s="1" t="str">
        <f t="shared" si="154"/>
        <v>2020-11-03</v>
      </c>
      <c r="I182" s="1" t="str">
        <f t="shared" si="6"/>
        <v>2</v>
      </c>
      <c r="J182" s="1" t="str">
        <f t="shared" si="7"/>
        <v>Rejected All</v>
      </c>
      <c r="L182" s="1" t="str">
        <f>"43535"</f>
        <v>43535</v>
      </c>
      <c r="M182" s="1" t="str">
        <f>"46"</f>
        <v>46</v>
      </c>
      <c r="N182" s="1" t="str">
        <f>"containing written sexually explicit material involving the use of force or non-consent"</f>
        <v>containing written sexually explicit material involving the use of force or non-consent</v>
      </c>
    </row>
    <row r="183" ht="14.25" customHeight="1">
      <c r="A183" s="1" t="str">
        <f>"Tattooed Beauties"</f>
        <v>Tattooed Beauties</v>
      </c>
      <c r="B183" s="1" t="str">
        <f t="shared" si="157"/>
        <v>0</v>
      </c>
      <c r="C183" s="1" t="str">
        <f t="shared" si="158"/>
        <v>n/a</v>
      </c>
      <c r="D183" s="1" t="str">
        <f>"Christian Saint"</f>
        <v>Christian Saint</v>
      </c>
      <c r="E183" s="1" t="str">
        <f t="shared" si="141"/>
        <v>31</v>
      </c>
      <c r="F183" s="1" t="str">
        <f t="shared" si="142"/>
        <v>Book</v>
      </c>
      <c r="G183" s="1" t="str">
        <f>"43147"</f>
        <v>43147</v>
      </c>
      <c r="H183" s="1" t="str">
        <f t="shared" si="154"/>
        <v>2020-11-03</v>
      </c>
      <c r="I183" s="1" t="str">
        <f t="shared" si="6"/>
        <v>2</v>
      </c>
      <c r="J183" s="1" t="str">
        <f t="shared" si="7"/>
        <v>Rejected All</v>
      </c>
      <c r="L183" s="1" t="str">
        <f>"43536"</f>
        <v>43536</v>
      </c>
      <c r="M183" s="1" t="str">
        <f>"42"</f>
        <v>42</v>
      </c>
      <c r="N183" s="1" t="str">
        <f>"containing pictorially explicit nudity"</f>
        <v>containing pictorially explicit nudity</v>
      </c>
    </row>
    <row r="184" ht="14.25" customHeight="1">
      <c r="A184" s="1" t="str">
        <f>"Abandoned"</f>
        <v>Abandoned</v>
      </c>
      <c r="B184" s="1" t="str">
        <f t="shared" si="157"/>
        <v>0</v>
      </c>
      <c r="C184" s="1" t="str">
        <f t="shared" si="158"/>
        <v>n/a</v>
      </c>
      <c r="D184" s="1" t="str">
        <f>"Anya Peters"</f>
        <v>Anya Peters</v>
      </c>
      <c r="E184" s="1" t="str">
        <f t="shared" si="141"/>
        <v>31</v>
      </c>
      <c r="F184" s="1" t="str">
        <f t="shared" si="142"/>
        <v>Book</v>
      </c>
      <c r="G184" s="1" t="str">
        <f>"43159"</f>
        <v>43159</v>
      </c>
      <c r="H184" s="1" t="str">
        <f t="shared" si="154"/>
        <v>2020-11-03</v>
      </c>
      <c r="I184" s="1" t="str">
        <f t="shared" si="6"/>
        <v>2</v>
      </c>
      <c r="J184" s="1" t="str">
        <f t="shared" si="7"/>
        <v>Rejected All</v>
      </c>
      <c r="L184" s="1" t="str">
        <f>"43548"</f>
        <v>43548</v>
      </c>
      <c r="M184" s="1" t="str">
        <f>"46"</f>
        <v>46</v>
      </c>
      <c r="N184" s="1" t="str">
        <f>"containing written sexually explicit material involving the use of force or non-consent"</f>
        <v>containing written sexually explicit material involving the use of force or non-consent</v>
      </c>
    </row>
    <row r="185" ht="14.25" customHeight="1">
      <c r="A185" s="1" t="str">
        <f>"Millenium: The Girl With the Dragon Tattoo"</f>
        <v>Millenium: The Girl With the Dragon Tattoo</v>
      </c>
      <c r="B185" s="1" t="str">
        <f t="shared" si="157"/>
        <v>0</v>
      </c>
      <c r="C185" s="1" t="str">
        <f t="shared" si="158"/>
        <v>n/a</v>
      </c>
      <c r="D185" s="1" t="str">
        <f>"Runberg"</f>
        <v>Runberg</v>
      </c>
      <c r="E185" s="1" t="str">
        <f t="shared" si="141"/>
        <v>31</v>
      </c>
      <c r="F185" s="1" t="str">
        <f t="shared" si="142"/>
        <v>Book</v>
      </c>
      <c r="G185" s="1" t="str">
        <f>"43175"</f>
        <v>43175</v>
      </c>
      <c r="H185" s="1" t="str">
        <f t="shared" si="154"/>
        <v>2020-11-03</v>
      </c>
      <c r="I185" s="1" t="str">
        <f t="shared" si="6"/>
        <v>2</v>
      </c>
      <c r="J185" s="1" t="str">
        <f t="shared" si="7"/>
        <v>Rejected All</v>
      </c>
      <c r="L185" s="1" t="str">
        <f>"43564"</f>
        <v>43564</v>
      </c>
      <c r="M185" s="1" t="str">
        <f t="shared" ref="M185:M186" si="159">"41"</f>
        <v>41</v>
      </c>
      <c r="N185" s="1" t="str">
        <f t="shared" ref="N185:N186" si="160">"containing pictorially explicit sexual activity"</f>
        <v>containing pictorially explicit sexual activity</v>
      </c>
    </row>
    <row r="186" ht="14.25" customHeight="1">
      <c r="A186" s="1" t="str">
        <f>"Position of the Day"</f>
        <v>Position of the Day</v>
      </c>
      <c r="B186" s="1" t="str">
        <f>"8972"</f>
        <v>8972</v>
      </c>
      <c r="C186" s="1" t="str">
        <f>"Sex Every Day In Every Way"</f>
        <v>Sex Every Day In Every Way</v>
      </c>
      <c r="D186" s="2" t="str">
        <f>"Nerve.com"</f>
        <v>Nerve.com</v>
      </c>
      <c r="E186" s="1" t="str">
        <f t="shared" si="141"/>
        <v>31</v>
      </c>
      <c r="F186" s="1" t="str">
        <f t="shared" si="142"/>
        <v>Book</v>
      </c>
      <c r="G186" s="1" t="str">
        <f>"43143"</f>
        <v>43143</v>
      </c>
      <c r="H186" s="1" t="str">
        <f t="shared" si="154"/>
        <v>2020-11-03</v>
      </c>
      <c r="I186" s="1" t="str">
        <f t="shared" si="6"/>
        <v>2</v>
      </c>
      <c r="J186" s="1" t="str">
        <f t="shared" si="7"/>
        <v>Rejected All</v>
      </c>
      <c r="L186" s="1" t="str">
        <f>"43532"</f>
        <v>43532</v>
      </c>
      <c r="M186" s="1" t="str">
        <f t="shared" si="159"/>
        <v>41</v>
      </c>
      <c r="N186" s="1" t="str">
        <f t="shared" si="160"/>
        <v>containing pictorially explicit sexual activity</v>
      </c>
    </row>
    <row r="187" ht="14.25" customHeight="1">
      <c r="A187" s="1" t="str">
        <f t="shared" ref="A187:A188" si="161">"Viral"</f>
        <v>Viral</v>
      </c>
      <c r="B187" s="1" t="str">
        <f>"8960"</f>
        <v>8960</v>
      </c>
      <c r="C187" s="1" t="str">
        <f>"Black Vol. 2 I Love Girls"</f>
        <v>Black Vol. 2 I Love Girls</v>
      </c>
      <c r="D187" s="1" t="str">
        <f t="shared" ref="D187:D188" si="162">"Gyro Magazine"</f>
        <v>Gyro Magazine</v>
      </c>
      <c r="E187" s="1" t="str">
        <f t="shared" ref="E187:E188" si="163">"32"</f>
        <v>32</v>
      </c>
      <c r="F187" s="1" t="str">
        <f t="shared" ref="F187:F188" si="164">"Magazine/Newspaper"</f>
        <v>Magazine/Newspaper</v>
      </c>
      <c r="G187" s="1" t="str">
        <f>"43120"</f>
        <v>43120</v>
      </c>
      <c r="H187" s="1" t="str">
        <f t="shared" si="154"/>
        <v>2020-11-03</v>
      </c>
      <c r="I187" s="1" t="str">
        <f t="shared" si="6"/>
        <v>2</v>
      </c>
      <c r="J187" s="1" t="str">
        <f t="shared" si="7"/>
        <v>Rejected All</v>
      </c>
      <c r="L187" s="1" t="str">
        <f>"43507"</f>
        <v>43507</v>
      </c>
      <c r="M187" s="1" t="str">
        <f t="shared" ref="M187:M188" si="165">"42"</f>
        <v>42</v>
      </c>
      <c r="N187" s="1" t="str">
        <f t="shared" ref="N187:N188" si="166">"containing pictorially explicit nudity"</f>
        <v>containing pictorially explicit nudity</v>
      </c>
    </row>
    <row r="188" ht="14.25" customHeight="1">
      <c r="A188" s="1" t="str">
        <f t="shared" si="161"/>
        <v>Viral</v>
      </c>
      <c r="B188" s="1" t="str">
        <f>"7696"</f>
        <v>7696</v>
      </c>
      <c r="C188" s="1" t="str">
        <f>"Vol. 9"</f>
        <v>Vol. 9</v>
      </c>
      <c r="D188" s="1" t="str">
        <f t="shared" si="162"/>
        <v>Gyro Magazine</v>
      </c>
      <c r="E188" s="1" t="str">
        <f t="shared" si="163"/>
        <v>32</v>
      </c>
      <c r="F188" s="1" t="str">
        <f t="shared" si="164"/>
        <v>Magazine/Newspaper</v>
      </c>
      <c r="G188" s="1" t="str">
        <f>"43119"</f>
        <v>43119</v>
      </c>
      <c r="H188" s="1" t="str">
        <f t="shared" si="154"/>
        <v>2020-11-03</v>
      </c>
      <c r="I188" s="1" t="str">
        <f t="shared" si="6"/>
        <v>2</v>
      </c>
      <c r="J188" s="1" t="str">
        <f t="shared" si="7"/>
        <v>Rejected All</v>
      </c>
      <c r="L188" s="1" t="str">
        <f>"43506"</f>
        <v>43506</v>
      </c>
      <c r="M188" s="1" t="str">
        <f t="shared" si="165"/>
        <v>42</v>
      </c>
      <c r="N188" s="1" t="str">
        <f t="shared" si="166"/>
        <v>containing pictorially explicit nudity</v>
      </c>
    </row>
    <row r="189" ht="14.25" customHeight="1">
      <c r="A189" s="1" t="str">
        <f>"Son of a Guna"</f>
        <v>Son of a Guna</v>
      </c>
      <c r="B189" s="1" t="str">
        <f>"107"</f>
        <v>107</v>
      </c>
      <c r="C189" s="1" t="str">
        <f>"#1"</f>
        <v>#1</v>
      </c>
      <c r="D189" s="1" t="str">
        <f>"Robert George III"</f>
        <v>Robert George III</v>
      </c>
      <c r="E189" s="1" t="str">
        <f t="shared" ref="E189:E210" si="167">"31"</f>
        <v>31</v>
      </c>
      <c r="F189" s="1" t="str">
        <f t="shared" ref="F189:F210" si="168">"Book"</f>
        <v>Book</v>
      </c>
      <c r="G189" s="1" t="str">
        <f>"43220"</f>
        <v>43220</v>
      </c>
      <c r="H189" s="1" t="str">
        <f t="shared" ref="H189:H193" si="169">"2020-11-17"</f>
        <v>2020-11-17</v>
      </c>
      <c r="I189" s="1" t="str">
        <f t="shared" si="6"/>
        <v>2</v>
      </c>
      <c r="J189" s="1" t="str">
        <f t="shared" si="7"/>
        <v>Rejected All</v>
      </c>
      <c r="L189" s="1" t="str">
        <f>"43608"</f>
        <v>43608</v>
      </c>
      <c r="M189" s="1" t="str">
        <f>"47"</f>
        <v>47</v>
      </c>
      <c r="N189" s="1" t="str">
        <f>"containing descriptions of security risk group material or activity"</f>
        <v>containing descriptions of security risk group material or activity</v>
      </c>
    </row>
    <row r="190" ht="14.25" customHeight="1">
      <c r="A190" s="1" t="str">
        <f>"Rick and Morty"</f>
        <v>Rick and Morty</v>
      </c>
      <c r="B190" s="1" t="str">
        <f>"9021"</f>
        <v>9021</v>
      </c>
      <c r="C190" s="1" t="str">
        <f>"Book Two"</f>
        <v>Book Two</v>
      </c>
      <c r="D190" s="1" t="str">
        <f>"ONI Press"</f>
        <v>ONI Press</v>
      </c>
      <c r="E190" s="1" t="str">
        <f t="shared" si="167"/>
        <v>31</v>
      </c>
      <c r="F190" s="1" t="str">
        <f t="shared" si="168"/>
        <v>Book</v>
      </c>
      <c r="G190" s="1" t="str">
        <f>"43275"</f>
        <v>43275</v>
      </c>
      <c r="H190" s="1" t="str">
        <f t="shared" si="169"/>
        <v>2020-11-17</v>
      </c>
      <c r="I190" s="1" t="str">
        <f t="shared" si="6"/>
        <v>2</v>
      </c>
      <c r="J190" s="1" t="str">
        <f t="shared" si="7"/>
        <v>Rejected All</v>
      </c>
      <c r="L190" s="1" t="str">
        <f>"43663"</f>
        <v>43663</v>
      </c>
      <c r="M190" s="1" t="str">
        <f>"39"</f>
        <v>39</v>
      </c>
      <c r="N190" s="1" t="str">
        <f>"being detrimental to security for the following reason:"</f>
        <v>being detrimental to security for the following reason:</v>
      </c>
    </row>
    <row r="191" ht="14.25" customHeight="1">
      <c r="A191" s="1" t="str">
        <f>"Ink Nymphs Los Angeles"</f>
        <v>Ink Nymphs Los Angeles</v>
      </c>
      <c r="B191" s="1" t="str">
        <f t="shared" ref="B191:B192" si="170">"0"</f>
        <v>0</v>
      </c>
      <c r="C191" s="1" t="str">
        <f t="shared" ref="C191:C192" si="171">"n/a"</f>
        <v>n/a</v>
      </c>
      <c r="D191" s="1" t="str">
        <f>"Nelson Blanton"</f>
        <v>Nelson Blanton</v>
      </c>
      <c r="E191" s="1" t="str">
        <f t="shared" si="167"/>
        <v>31</v>
      </c>
      <c r="F191" s="1" t="str">
        <f t="shared" si="168"/>
        <v>Book</v>
      </c>
      <c r="G191" s="1" t="str">
        <f>"43191"</f>
        <v>43191</v>
      </c>
      <c r="H191" s="1" t="str">
        <f t="shared" si="169"/>
        <v>2020-11-17</v>
      </c>
      <c r="I191" s="1" t="str">
        <f t="shared" si="6"/>
        <v>2</v>
      </c>
      <c r="J191" s="1" t="str">
        <f t="shared" si="7"/>
        <v>Rejected All</v>
      </c>
      <c r="L191" s="1" t="str">
        <f>"43580"</f>
        <v>43580</v>
      </c>
      <c r="M191" s="1" t="str">
        <f t="shared" ref="M191:M192" si="172">"42"</f>
        <v>42</v>
      </c>
      <c r="N191" s="1" t="str">
        <f t="shared" ref="N191:N192" si="173">"containing pictorially explicit nudity"</f>
        <v>containing pictorially explicit nudity</v>
      </c>
    </row>
    <row r="192" ht="14.25" customHeight="1">
      <c r="A192" s="1" t="str">
        <f>"Lingerie 2021 Calendar"</f>
        <v>Lingerie 2021 Calendar</v>
      </c>
      <c r="B192" s="1" t="str">
        <f t="shared" si="170"/>
        <v>0</v>
      </c>
      <c r="C192" s="1" t="str">
        <f t="shared" si="171"/>
        <v>n/a</v>
      </c>
      <c r="D192" s="1" t="str">
        <f>"avonside Publishing Ltd"</f>
        <v>avonside Publishing Ltd</v>
      </c>
      <c r="E192" s="1" t="str">
        <f t="shared" si="167"/>
        <v>31</v>
      </c>
      <c r="F192" s="1" t="str">
        <f t="shared" si="168"/>
        <v>Book</v>
      </c>
      <c r="G192" s="1" t="str">
        <f>"43283"</f>
        <v>43283</v>
      </c>
      <c r="H192" s="1" t="str">
        <f t="shared" si="169"/>
        <v>2020-11-17</v>
      </c>
      <c r="I192" s="1" t="str">
        <f t="shared" si="6"/>
        <v>2</v>
      </c>
      <c r="J192" s="1" t="str">
        <f t="shared" si="7"/>
        <v>Rejected All</v>
      </c>
      <c r="L192" s="1" t="str">
        <f>"43672"</f>
        <v>43672</v>
      </c>
      <c r="M192" s="1" t="str">
        <f t="shared" si="172"/>
        <v>42</v>
      </c>
      <c r="N192" s="1" t="str">
        <f t="shared" si="173"/>
        <v>containing pictorially explicit nudity</v>
      </c>
    </row>
    <row r="193" ht="14.25" customHeight="1">
      <c r="A193" s="1" t="str">
        <f>"Hip Hop At The End of the World"</f>
        <v>Hip Hop At The End of the World</v>
      </c>
      <c r="B193" s="1" t="str">
        <f>"9042"</f>
        <v>9042</v>
      </c>
      <c r="C193" s="1" t="str">
        <f>"The Photography of Ernie Paniccioli"</f>
        <v>The Photography of Ernie Paniccioli</v>
      </c>
      <c r="D193" s="1" t="str">
        <f>"Rizzoli New York"</f>
        <v>Rizzoli New York</v>
      </c>
      <c r="E193" s="1" t="str">
        <f t="shared" si="167"/>
        <v>31</v>
      </c>
      <c r="F193" s="1" t="str">
        <f t="shared" si="168"/>
        <v>Book</v>
      </c>
      <c r="G193" s="1" t="str">
        <f>"43300"</f>
        <v>43300</v>
      </c>
      <c r="H193" s="1" t="str">
        <f t="shared" si="169"/>
        <v>2020-11-17</v>
      </c>
      <c r="I193" s="1" t="str">
        <f t="shared" si="6"/>
        <v>2</v>
      </c>
      <c r="J193" s="1" t="str">
        <f t="shared" si="7"/>
        <v>Rejected All</v>
      </c>
      <c r="L193" s="1" t="str">
        <f>"43689"</f>
        <v>43689</v>
      </c>
      <c r="M193" s="1" t="str">
        <f>"47"</f>
        <v>47</v>
      </c>
      <c r="N193" s="1" t="str">
        <f>"containing descriptions of security risk group material or activity"</f>
        <v>containing descriptions of security risk group material or activity</v>
      </c>
    </row>
    <row r="194" ht="14.25" customHeight="1">
      <c r="A194" s="1" t="str">
        <f>"Ethic"</f>
        <v>Ethic</v>
      </c>
      <c r="B194" s="1" t="str">
        <f>"1270"</f>
        <v>1270</v>
      </c>
      <c r="C194" s="1" t="str">
        <f>"Book 1"</f>
        <v>Book 1</v>
      </c>
      <c r="D194" s="1" t="str">
        <f>"Ashley Antoinette"</f>
        <v>Ashley Antoinette</v>
      </c>
      <c r="E194" s="1" t="str">
        <f t="shared" si="167"/>
        <v>31</v>
      </c>
      <c r="F194" s="1" t="str">
        <f t="shared" si="168"/>
        <v>Book</v>
      </c>
      <c r="G194" s="1" t="str">
        <f>"42573"</f>
        <v>42573</v>
      </c>
      <c r="H194" s="1" t="str">
        <f>"2020-12-01"</f>
        <v>2020-12-01</v>
      </c>
      <c r="I194" s="1" t="str">
        <f t="shared" si="6"/>
        <v>2</v>
      </c>
      <c r="J194" s="1" t="str">
        <f t="shared" si="7"/>
        <v>Rejected All</v>
      </c>
      <c r="L194" s="1" t="str">
        <f>"42947"</f>
        <v>42947</v>
      </c>
      <c r="M194" s="1" t="str">
        <f>"46"</f>
        <v>46</v>
      </c>
      <c r="N194" s="1" t="str">
        <f>"containing written sexually explicit material involving the use of force or non-consent"</f>
        <v>containing written sexually explicit material involving the use of force or non-consent</v>
      </c>
    </row>
    <row r="195" ht="14.25" customHeight="1">
      <c r="A195" s="1" t="str">
        <f>"SuperHeros After Dark 2: Nightfall"</f>
        <v>SuperHeros After Dark 2: Nightfall</v>
      </c>
      <c r="B195" s="1" t="str">
        <f>"300"</f>
        <v>300</v>
      </c>
      <c r="C195" s="1" t="str">
        <f>"#2"</f>
        <v>#2</v>
      </c>
      <c r="D195" s="1" t="str">
        <f>"Shade"</f>
        <v>Shade</v>
      </c>
      <c r="E195" s="1" t="str">
        <f t="shared" si="167"/>
        <v>31</v>
      </c>
      <c r="F195" s="1" t="str">
        <f t="shared" si="168"/>
        <v>Book</v>
      </c>
      <c r="G195" s="1" t="str">
        <f>"43425"</f>
        <v>43425</v>
      </c>
      <c r="H195" s="1" t="str">
        <f t="shared" ref="H195:H202" si="174">"2020-12-15"</f>
        <v>2020-12-15</v>
      </c>
      <c r="I195" s="1" t="str">
        <f t="shared" si="6"/>
        <v>2</v>
      </c>
      <c r="J195" s="1" t="str">
        <f t="shared" si="7"/>
        <v>Rejected All</v>
      </c>
      <c r="L195" s="1" t="str">
        <f>"43814"</f>
        <v>43814</v>
      </c>
      <c r="M195" s="1" t="str">
        <f>"41"</f>
        <v>41</v>
      </c>
      <c r="N195" s="1" t="str">
        <f>"containing pictorially explicit sexual activity"</f>
        <v>containing pictorially explicit sexual activity</v>
      </c>
    </row>
    <row r="196" ht="14.25" customHeight="1">
      <c r="A196" s="1" t="str">
        <f>"Shooter&amp;#39;s Bible Guide to AR-15s "</f>
        <v>Shooter&amp;#39;s Bible Guide to AR-15s </v>
      </c>
      <c r="B196" s="1" t="str">
        <f>"802"</f>
        <v>802</v>
      </c>
      <c r="C196" s="1" t="str">
        <f>"2nd Edition"</f>
        <v>2nd Edition</v>
      </c>
      <c r="D196" s="1" t="str">
        <f>"Doug Howlett"</f>
        <v>Doug Howlett</v>
      </c>
      <c r="E196" s="1" t="str">
        <f t="shared" si="167"/>
        <v>31</v>
      </c>
      <c r="F196" s="1" t="str">
        <f t="shared" si="168"/>
        <v>Book</v>
      </c>
      <c r="G196" s="1" t="str">
        <f>"43411"</f>
        <v>43411</v>
      </c>
      <c r="H196" s="1" t="str">
        <f t="shared" si="174"/>
        <v>2020-12-15</v>
      </c>
      <c r="I196" s="1" t="str">
        <f t="shared" si="6"/>
        <v>2</v>
      </c>
      <c r="J196" s="1" t="str">
        <f t="shared" si="7"/>
        <v>Rejected All</v>
      </c>
      <c r="L196" s="1" t="str">
        <f>"43799"</f>
        <v>43799</v>
      </c>
      <c r="M196" s="1" t="str">
        <f>"5"</f>
        <v>5</v>
      </c>
      <c r="N196" s="1" t="str">
        <f>"containing weapon construction procedures"</f>
        <v>containing weapon construction procedures</v>
      </c>
    </row>
    <row r="197" ht="14.25" customHeight="1">
      <c r="A197" s="1" t="str">
        <f>"Butterfly"</f>
        <v>Butterfly</v>
      </c>
      <c r="B197" s="1" t="str">
        <f>"6609"</f>
        <v>6609</v>
      </c>
      <c r="C197" s="1" t="str">
        <f>"Book 3"</f>
        <v>Book 3</v>
      </c>
      <c r="D197" s="1" t="str">
        <f>"Ashley Antoinette"</f>
        <v>Ashley Antoinette</v>
      </c>
      <c r="E197" s="1" t="str">
        <f t="shared" si="167"/>
        <v>31</v>
      </c>
      <c r="F197" s="1" t="str">
        <f t="shared" si="168"/>
        <v>Book</v>
      </c>
      <c r="G197" s="1" t="str">
        <f>"43490"</f>
        <v>43490</v>
      </c>
      <c r="H197" s="1" t="str">
        <f t="shared" si="174"/>
        <v>2020-12-15</v>
      </c>
      <c r="I197" s="1" t="str">
        <f t="shared" si="6"/>
        <v>2</v>
      </c>
      <c r="J197" s="1" t="str">
        <f t="shared" si="7"/>
        <v>Rejected All</v>
      </c>
      <c r="L197" s="1" t="str">
        <f>"43880"</f>
        <v>43880</v>
      </c>
      <c r="M197" s="1" t="str">
        <f>"43"</f>
        <v>43</v>
      </c>
      <c r="N197" s="1" t="str">
        <f>"containing written sexually explicit / sado-masochistic behavior"</f>
        <v>containing written sexually explicit / sado-masochistic behavior</v>
      </c>
    </row>
    <row r="198" ht="14.25" customHeight="1">
      <c r="A198" s="1" t="str">
        <f>"Love Behind Bars"</f>
        <v>Love Behind Bars</v>
      </c>
      <c r="B198" s="1" t="str">
        <f t="shared" ref="B198:B202" si="175">"0"</f>
        <v>0</v>
      </c>
      <c r="C198" s="1" t="str">
        <f t="shared" ref="C198:C202" si="176">"n/a"</f>
        <v>n/a</v>
      </c>
      <c r="D198" s="1" t="str">
        <f>"Jennifer Jagger"</f>
        <v>Jennifer Jagger</v>
      </c>
      <c r="E198" s="1" t="str">
        <f t="shared" si="167"/>
        <v>31</v>
      </c>
      <c r="F198" s="1" t="str">
        <f t="shared" si="168"/>
        <v>Book</v>
      </c>
      <c r="G198" s="1" t="str">
        <f>"43405"</f>
        <v>43405</v>
      </c>
      <c r="H198" s="1" t="str">
        <f t="shared" si="174"/>
        <v>2020-12-15</v>
      </c>
      <c r="I198" s="1" t="str">
        <f t="shared" si="6"/>
        <v>2</v>
      </c>
      <c r="J198" s="1" t="str">
        <f t="shared" si="7"/>
        <v>Rejected All</v>
      </c>
      <c r="L198" s="1" t="str">
        <f>"43793"</f>
        <v>43793</v>
      </c>
      <c r="M198" s="1" t="str">
        <f>"46"</f>
        <v>46</v>
      </c>
      <c r="N198" s="1" t="str">
        <f>"containing written sexually explicit material involving the use of force or non-consent"</f>
        <v>containing written sexually explicit material involving the use of force or non-consent</v>
      </c>
    </row>
    <row r="199" ht="14.25" customHeight="1">
      <c r="A199" s="1" t="str">
        <f>"How to Disappear"</f>
        <v>How to Disappear</v>
      </c>
      <c r="B199" s="1" t="str">
        <f t="shared" si="175"/>
        <v>0</v>
      </c>
      <c r="C199" s="1" t="str">
        <f t="shared" si="176"/>
        <v>n/a</v>
      </c>
      <c r="D199" s="1" t="str">
        <f>"Frank Ahern"</f>
        <v>Frank Ahern</v>
      </c>
      <c r="E199" s="1" t="str">
        <f t="shared" si="167"/>
        <v>31</v>
      </c>
      <c r="F199" s="1" t="str">
        <f t="shared" si="168"/>
        <v>Book</v>
      </c>
      <c r="G199" s="1" t="str">
        <f>"13276"</f>
        <v>13276</v>
      </c>
      <c r="H199" s="1" t="str">
        <f t="shared" si="174"/>
        <v>2020-12-15</v>
      </c>
      <c r="I199" s="1" t="str">
        <f t="shared" si="6"/>
        <v>2</v>
      </c>
      <c r="J199" s="1" t="str">
        <f t="shared" si="7"/>
        <v>Rejected All</v>
      </c>
      <c r="L199" s="1" t="str">
        <f>"43809"</f>
        <v>43809</v>
      </c>
      <c r="M199" s="1" t="str">
        <f>"10"</f>
        <v>10</v>
      </c>
      <c r="N199" s="1" t="str">
        <f>"encouraging or instructing on the commision of criminal activity"</f>
        <v>encouraging or instructing on the commision of criminal activity</v>
      </c>
    </row>
    <row r="200" ht="14.25" customHeight="1">
      <c r="A200" s="1" t="str">
        <f>"The Minifarming Handbook"</f>
        <v>The Minifarming Handbook</v>
      </c>
      <c r="B200" s="1" t="str">
        <f t="shared" si="175"/>
        <v>0</v>
      </c>
      <c r="C200" s="1" t="str">
        <f t="shared" si="176"/>
        <v>n/a</v>
      </c>
      <c r="D200" s="1" t="str">
        <f>"Brett L. Markham"</f>
        <v>Brett L. Markham</v>
      </c>
      <c r="E200" s="1" t="str">
        <f t="shared" si="167"/>
        <v>31</v>
      </c>
      <c r="F200" s="1" t="str">
        <f t="shared" si="168"/>
        <v>Book</v>
      </c>
      <c r="G200" s="1" t="str">
        <f>"43438"</f>
        <v>43438</v>
      </c>
      <c r="H200" s="1" t="str">
        <f t="shared" si="174"/>
        <v>2020-12-15</v>
      </c>
      <c r="I200" s="1" t="str">
        <f t="shared" si="6"/>
        <v>2</v>
      </c>
      <c r="J200" s="1" t="str">
        <f t="shared" si="7"/>
        <v>Rejected All</v>
      </c>
      <c r="L200" s="1" t="str">
        <f>"43828"</f>
        <v>43828</v>
      </c>
      <c r="M200" s="1" t="str">
        <f>"7"</f>
        <v>7</v>
      </c>
      <c r="N200" s="1" t="str">
        <f>"describing procedures to brew alcohol or manufacture drugs"</f>
        <v>describing procedures to brew alcohol or manufacture drugs</v>
      </c>
    </row>
    <row r="201" ht="14.25" customHeight="1">
      <c r="A201" s="1" t="str">
        <f>"Stack Before You Splurge"</f>
        <v>Stack Before You Splurge</v>
      </c>
      <c r="B201" s="1" t="str">
        <f t="shared" si="175"/>
        <v>0</v>
      </c>
      <c r="C201" s="1" t="str">
        <f t="shared" si="176"/>
        <v>n/a</v>
      </c>
      <c r="D201" s="1" t="str">
        <f>"A. Roy Milligan"</f>
        <v>A. Roy Milligan</v>
      </c>
      <c r="E201" s="1" t="str">
        <f t="shared" si="167"/>
        <v>31</v>
      </c>
      <c r="F201" s="1" t="str">
        <f t="shared" si="168"/>
        <v>Book</v>
      </c>
      <c r="G201" s="1" t="str">
        <f>"43458"</f>
        <v>43458</v>
      </c>
      <c r="H201" s="1" t="str">
        <f t="shared" si="174"/>
        <v>2020-12-15</v>
      </c>
      <c r="I201" s="1" t="str">
        <f t="shared" si="6"/>
        <v>2</v>
      </c>
      <c r="J201" s="1" t="str">
        <f t="shared" si="7"/>
        <v>Rejected All</v>
      </c>
      <c r="L201" s="1" t="str">
        <f>"43848"</f>
        <v>43848</v>
      </c>
      <c r="M201" s="1" t="str">
        <f>"43"</f>
        <v>43</v>
      </c>
      <c r="N201" s="1" t="str">
        <f>"containing written sexually explicit / sado-masochistic behavior"</f>
        <v>containing written sexually explicit / sado-masochistic behavior</v>
      </c>
    </row>
    <row r="202" ht="14.25" customHeight="1">
      <c r="A202" s="1" t="s">
        <v>8</v>
      </c>
      <c r="B202" s="1" t="str">
        <f t="shared" si="175"/>
        <v>0</v>
      </c>
      <c r="C202" s="1" t="str">
        <f t="shared" si="176"/>
        <v>n/a</v>
      </c>
      <c r="D202" s="1" t="str">
        <f>"Michel Daniek"</f>
        <v>Michel Daniek</v>
      </c>
      <c r="E202" s="1" t="str">
        <f t="shared" si="167"/>
        <v>31</v>
      </c>
      <c r="F202" s="1" t="str">
        <f t="shared" si="168"/>
        <v>Book</v>
      </c>
      <c r="G202" s="1" t="str">
        <f>"43492"</f>
        <v>43492</v>
      </c>
      <c r="H202" s="1" t="str">
        <f t="shared" si="174"/>
        <v>2020-12-15</v>
      </c>
      <c r="I202" s="1" t="str">
        <f t="shared" si="6"/>
        <v>2</v>
      </c>
      <c r="J202" s="1" t="str">
        <f t="shared" si="7"/>
        <v>Rejected All</v>
      </c>
      <c r="L202" s="1" t="str">
        <f>"43882"</f>
        <v>43882</v>
      </c>
      <c r="M202" s="1" t="str">
        <f>"39"</f>
        <v>39</v>
      </c>
      <c r="N202" s="1" t="str">
        <f>"being detrimental to security for the following reason:"</f>
        <v>being detrimental to security for the following reason:</v>
      </c>
    </row>
    <row r="203" ht="14.25" customHeight="1">
      <c r="A203" s="1" t="str">
        <f>"Loyal to the Game "</f>
        <v>Loyal to the Game </v>
      </c>
      <c r="B203" s="1" t="str">
        <f>"6063"</f>
        <v>6063</v>
      </c>
      <c r="C203" s="1" t="str">
        <f>"1"</f>
        <v>1</v>
      </c>
      <c r="D203" s="1" t="str">
        <f>"T.J. &amp;amp; Jelissa"</f>
        <v>T.J. &amp;amp; Jelissa</v>
      </c>
      <c r="E203" s="1" t="str">
        <f t="shared" si="167"/>
        <v>31</v>
      </c>
      <c r="F203" s="1" t="str">
        <f t="shared" si="168"/>
        <v>Book</v>
      </c>
      <c r="G203" s="1" t="str">
        <f>"43538"</f>
        <v>43538</v>
      </c>
      <c r="H203" s="1" t="str">
        <f t="shared" ref="H203:H204" si="177">"2021-01-05"</f>
        <v>2021-01-05</v>
      </c>
      <c r="I203" s="1" t="str">
        <f t="shared" si="6"/>
        <v>2</v>
      </c>
      <c r="J203" s="1" t="str">
        <f t="shared" si="7"/>
        <v>Rejected All</v>
      </c>
      <c r="L203" s="1" t="str">
        <f>"43929"</f>
        <v>43929</v>
      </c>
      <c r="M203" s="1" t="str">
        <f>"41"</f>
        <v>41</v>
      </c>
      <c r="N203" s="1" t="str">
        <f>"containing pictorially explicit sexual activity"</f>
        <v>containing pictorially explicit sexual activity</v>
      </c>
    </row>
    <row r="204" ht="14.25" customHeight="1">
      <c r="A204" s="1" t="str">
        <f>"Pushing Ink"</f>
        <v>Pushing Ink</v>
      </c>
      <c r="B204" s="1" t="str">
        <f>"9222"</f>
        <v>9222</v>
      </c>
      <c r="C204" s="1" t="str">
        <f>"The Fine Art of Tattooing"</f>
        <v>The Fine Art of Tattooing</v>
      </c>
      <c r="D204" s="1" t="str">
        <f>"Spider Webb"</f>
        <v>Spider Webb</v>
      </c>
      <c r="E204" s="1" t="str">
        <f t="shared" si="167"/>
        <v>31</v>
      </c>
      <c r="F204" s="1" t="str">
        <f t="shared" si="168"/>
        <v>Book</v>
      </c>
      <c r="G204" s="1" t="str">
        <f>"43636"</f>
        <v>43636</v>
      </c>
      <c r="H204" s="1" t="str">
        <f t="shared" si="177"/>
        <v>2021-01-05</v>
      </c>
      <c r="I204" s="1" t="str">
        <f t="shared" si="6"/>
        <v>2</v>
      </c>
      <c r="J204" s="1" t="str">
        <f t="shared" si="7"/>
        <v>Rejected All</v>
      </c>
      <c r="L204" s="1" t="str">
        <f>"44031"</f>
        <v>44031</v>
      </c>
      <c r="M204" s="1" t="str">
        <f>"42"</f>
        <v>42</v>
      </c>
      <c r="N204" s="1" t="str">
        <f>"containing pictorially explicit nudity"</f>
        <v>containing pictorially explicit nudity</v>
      </c>
    </row>
    <row r="205" ht="14.25" customHeight="1">
      <c r="A205" s="1" t="str">
        <f>"Love Pain Life"</f>
        <v>Love Pain Life</v>
      </c>
      <c r="B205" s="1" t="str">
        <f>"0"</f>
        <v>0</v>
      </c>
      <c r="C205" s="1" t="str">
        <f>"n/a"</f>
        <v>n/a</v>
      </c>
      <c r="D205" s="1" t="str">
        <f>"Tiquana Williams"</f>
        <v>Tiquana Williams</v>
      </c>
      <c r="E205" s="1" t="str">
        <f t="shared" si="167"/>
        <v>31</v>
      </c>
      <c r="F205" s="1" t="str">
        <f t="shared" si="168"/>
        <v>Book</v>
      </c>
      <c r="G205" s="1" t="str">
        <f>"43690"</f>
        <v>43690</v>
      </c>
      <c r="H205" s="1" t="str">
        <f>"2021-01-19"</f>
        <v>2021-01-19</v>
      </c>
      <c r="I205" s="1" t="str">
        <f t="shared" si="6"/>
        <v>2</v>
      </c>
      <c r="J205" s="1" t="str">
        <f t="shared" si="7"/>
        <v>Rejected All</v>
      </c>
      <c r="L205" s="1" t="str">
        <f>"44089"</f>
        <v>44089</v>
      </c>
      <c r="M205" s="1" t="str">
        <f>"46"</f>
        <v>46</v>
      </c>
      <c r="N205" s="1" t="str">
        <f>"containing written sexually explicit material involving the use of force or non-consent"</f>
        <v>containing written sexually explicit material involving the use of force or non-consent</v>
      </c>
    </row>
    <row r="206" ht="14.25" customHeight="1">
      <c r="A206" s="1" t="str">
        <f>"She&amp;#39;s Dickmatized"</f>
        <v>She&amp;#39;s Dickmatized</v>
      </c>
      <c r="B206" s="1" t="str">
        <f>"9338"</f>
        <v>9338</v>
      </c>
      <c r="C206" s="1" t="str">
        <f>"An Erotic Novella"</f>
        <v>An Erotic Novella</v>
      </c>
      <c r="D206" s="1" t="str">
        <f>"Tania Marie"</f>
        <v>Tania Marie</v>
      </c>
      <c r="E206" s="1" t="str">
        <f t="shared" si="167"/>
        <v>31</v>
      </c>
      <c r="F206" s="1" t="str">
        <f t="shared" si="168"/>
        <v>Book</v>
      </c>
      <c r="G206" s="1" t="str">
        <f>"43823"</f>
        <v>43823</v>
      </c>
      <c r="H206" s="1" t="str">
        <f t="shared" ref="H206:H211" si="178">"2021-02-02"</f>
        <v>2021-02-02</v>
      </c>
      <c r="I206" s="1" t="str">
        <f t="shared" si="6"/>
        <v>2</v>
      </c>
      <c r="J206" s="1" t="str">
        <f t="shared" si="7"/>
        <v>Rejected All</v>
      </c>
      <c r="L206" s="1" t="str">
        <f>"44225"</f>
        <v>44225</v>
      </c>
      <c r="M206" s="1" t="str">
        <f>"43"</f>
        <v>43</v>
      </c>
      <c r="N206" s="1" t="str">
        <f>"containing written sexually explicit / sado-masochistic behavior"</f>
        <v>containing written sexually explicit / sado-masochistic behavior</v>
      </c>
    </row>
    <row r="207" ht="14.25" customHeight="1">
      <c r="A207" s="1" t="str">
        <f>"Weapons of the US Special Operations Command"</f>
        <v>Weapons of the US Special Operations Command</v>
      </c>
      <c r="B207" s="1" t="str">
        <f t="shared" ref="B207:B210" si="179">"0"</f>
        <v>0</v>
      </c>
      <c r="C207" s="1" t="str">
        <f t="shared" ref="C207:C210" si="180">"n/a"</f>
        <v>n/a</v>
      </c>
      <c r="D207" s="1" t="str">
        <f>"Chris McNab"</f>
        <v>Chris McNab</v>
      </c>
      <c r="E207" s="1" t="str">
        <f t="shared" si="167"/>
        <v>31</v>
      </c>
      <c r="F207" s="1" t="str">
        <f t="shared" si="168"/>
        <v>Book</v>
      </c>
      <c r="G207" s="1" t="str">
        <f>"43763"</f>
        <v>43763</v>
      </c>
      <c r="H207" s="1" t="str">
        <f t="shared" si="178"/>
        <v>2021-02-02</v>
      </c>
      <c r="I207" s="1" t="str">
        <f t="shared" si="6"/>
        <v>2</v>
      </c>
      <c r="J207" s="1" t="str">
        <f t="shared" si="7"/>
        <v>Rejected All</v>
      </c>
      <c r="L207" s="1" t="str">
        <f>"44165"</f>
        <v>44165</v>
      </c>
      <c r="M207" s="1" t="str">
        <f>"5"</f>
        <v>5</v>
      </c>
      <c r="N207" s="1" t="str">
        <f>"containing weapon construction procedures"</f>
        <v>containing weapon construction procedures</v>
      </c>
    </row>
    <row r="208" ht="14.25" customHeight="1">
      <c r="A208" s="1" t="str">
        <f>"Love the Pain"</f>
        <v>Love the Pain</v>
      </c>
      <c r="B208" s="1" t="str">
        <f t="shared" si="179"/>
        <v>0</v>
      </c>
      <c r="C208" s="1" t="str">
        <f t="shared" si="180"/>
        <v>n/a</v>
      </c>
      <c r="D208" s="1" t="str">
        <f>"Tiquann Williams a.k.a. Diamond P"</f>
        <v>Tiquann Williams a.k.a. Diamond P</v>
      </c>
      <c r="E208" s="1" t="str">
        <f t="shared" si="167"/>
        <v>31</v>
      </c>
      <c r="F208" s="1" t="str">
        <f t="shared" si="168"/>
        <v>Book</v>
      </c>
      <c r="G208" s="1" t="str">
        <f>"43850"</f>
        <v>43850</v>
      </c>
      <c r="H208" s="1" t="str">
        <f t="shared" si="178"/>
        <v>2021-02-02</v>
      </c>
      <c r="I208" s="1" t="str">
        <f t="shared" si="6"/>
        <v>2</v>
      </c>
      <c r="J208" s="1" t="str">
        <f t="shared" si="7"/>
        <v>Rejected All</v>
      </c>
      <c r="L208" s="1" t="str">
        <f>"44251"</f>
        <v>44251</v>
      </c>
      <c r="M208" s="1" t="str">
        <f>"45"</f>
        <v>45</v>
      </c>
      <c r="N208" s="1" t="str">
        <f>"containing written sexually explicit material involving minors"</f>
        <v>containing written sexually explicit material involving minors</v>
      </c>
    </row>
    <row r="209" ht="14.25" customHeight="1">
      <c r="A209" s="1" t="str">
        <f>"MI6 Spy Skills for Civillians"</f>
        <v>MI6 Spy Skills for Civillians</v>
      </c>
      <c r="B209" s="1" t="str">
        <f t="shared" si="179"/>
        <v>0</v>
      </c>
      <c r="C209" s="1" t="str">
        <f t="shared" si="180"/>
        <v>n/a</v>
      </c>
      <c r="D209" s="1" t="str">
        <f>"Red Riley"</f>
        <v>Red Riley</v>
      </c>
      <c r="E209" s="1" t="str">
        <f t="shared" si="167"/>
        <v>31</v>
      </c>
      <c r="F209" s="1" t="str">
        <f t="shared" si="168"/>
        <v>Book</v>
      </c>
      <c r="G209" s="1" t="str">
        <f>"43901"</f>
        <v>43901</v>
      </c>
      <c r="H209" s="1" t="str">
        <f t="shared" si="178"/>
        <v>2021-02-02</v>
      </c>
      <c r="I209" s="1" t="str">
        <f t="shared" si="6"/>
        <v>2</v>
      </c>
      <c r="J209" s="1" t="str">
        <f t="shared" si="7"/>
        <v>Rejected All</v>
      </c>
      <c r="L209" s="1" t="str">
        <f>"44302"</f>
        <v>44302</v>
      </c>
      <c r="M209" s="1" t="str">
        <f>"40"</f>
        <v>40</v>
      </c>
      <c r="N209" s="1" t="str">
        <f>"describing fighting techniques"</f>
        <v>describing fighting techniques</v>
      </c>
    </row>
    <row r="210" ht="14.25" customHeight="1">
      <c r="A210" s="1" t="str">
        <f>"Guide To Making Fire Without Matches"</f>
        <v>Guide To Making Fire Without Matches</v>
      </c>
      <c r="B210" s="1" t="str">
        <f t="shared" si="179"/>
        <v>0</v>
      </c>
      <c r="C210" s="1" t="str">
        <f t="shared" si="180"/>
        <v>n/a</v>
      </c>
      <c r="D210" s="1" t="str">
        <f>"Christopher Nyerges"</f>
        <v>Christopher Nyerges</v>
      </c>
      <c r="E210" s="1" t="str">
        <f t="shared" si="167"/>
        <v>31</v>
      </c>
      <c r="F210" s="1" t="str">
        <f t="shared" si="168"/>
        <v>Book</v>
      </c>
      <c r="G210" s="1" t="str">
        <f>"43902"</f>
        <v>43902</v>
      </c>
      <c r="H210" s="1" t="str">
        <f t="shared" si="178"/>
        <v>2021-02-02</v>
      </c>
      <c r="I210" s="1" t="str">
        <f t="shared" si="6"/>
        <v>2</v>
      </c>
      <c r="J210" s="1" t="str">
        <f t="shared" si="7"/>
        <v>Rejected All</v>
      </c>
      <c r="L210" s="1" t="str">
        <f>"44303"</f>
        <v>44303</v>
      </c>
      <c r="M210" s="1" t="str">
        <f>"5"</f>
        <v>5</v>
      </c>
      <c r="N210" s="1" t="str">
        <f>"containing weapon construction procedures"</f>
        <v>containing weapon construction procedures</v>
      </c>
    </row>
    <row r="211" ht="14.25" customHeight="1">
      <c r="A211" s="1" t="str">
        <f>"Urban News"</f>
        <v>Urban News</v>
      </c>
      <c r="B211" s="1" t="str">
        <f>"9330"</f>
        <v>9330</v>
      </c>
      <c r="C211" s="1" t="str">
        <f>"Iss. 8 - Free The Real - S.O.U.L. B. The Greatest Story Never Told"</f>
        <v>Iss. 8 - Free The Real - S.O.U.L. B. The Greatest Story Never Told</v>
      </c>
      <c r="E211" s="1" t="str">
        <f>"32"</f>
        <v>32</v>
      </c>
      <c r="F211" s="1" t="str">
        <f>"Magazine/Newspaper"</f>
        <v>Magazine/Newspaper</v>
      </c>
      <c r="G211" s="1" t="str">
        <f>"43813"</f>
        <v>43813</v>
      </c>
      <c r="H211" s="1" t="str">
        <f t="shared" si="178"/>
        <v>2021-02-02</v>
      </c>
      <c r="I211" s="1" t="str">
        <f t="shared" si="6"/>
        <v>2</v>
      </c>
      <c r="J211" s="1" t="str">
        <f t="shared" si="7"/>
        <v>Rejected All</v>
      </c>
      <c r="L211" s="1" t="str">
        <f>"44214"</f>
        <v>44214</v>
      </c>
      <c r="M211" s="1" t="str">
        <f>"47"</f>
        <v>47</v>
      </c>
      <c r="N211" s="1" t="str">
        <f>"containing descriptions of security risk group material or activity"</f>
        <v>containing descriptions of security risk group material or activity</v>
      </c>
    </row>
    <row r="212" ht="14.25" customHeight="1">
      <c r="A212" s="1" t="str">
        <f>"Secrets of Tarot "</f>
        <v>Secrets of Tarot </v>
      </c>
      <c r="B212" s="1" t="str">
        <f>"9412"</f>
        <v>9412</v>
      </c>
      <c r="C212" s="1" t="str">
        <f>"Includes 78 cards"</f>
        <v>Includes 78 cards</v>
      </c>
      <c r="D212" s="1" t="str">
        <f>"Amanda Hall"</f>
        <v>Amanda Hall</v>
      </c>
      <c r="E212" s="1" t="str">
        <f t="shared" ref="E212:E232" si="181">"31"</f>
        <v>31</v>
      </c>
      <c r="F212" s="1" t="str">
        <f t="shared" ref="F212:F232" si="182">"Book"</f>
        <v>Book</v>
      </c>
      <c r="G212" s="1" t="str">
        <f>"43957"</f>
        <v>43957</v>
      </c>
      <c r="H212" s="1" t="str">
        <f t="shared" ref="H212:H216" si="183">"2021-02-16"</f>
        <v>2021-02-16</v>
      </c>
      <c r="I212" s="1" t="str">
        <f t="shared" si="6"/>
        <v>2</v>
      </c>
      <c r="J212" s="1" t="str">
        <f t="shared" si="7"/>
        <v>Rejected All</v>
      </c>
      <c r="L212" s="1" t="str">
        <f>"44361"</f>
        <v>44361</v>
      </c>
      <c r="M212" s="1" t="str">
        <f>"48"</f>
        <v>48</v>
      </c>
      <c r="N212" s="1" t="str">
        <f>"containing physical properties which can be manipulated as a security concern"</f>
        <v>containing physical properties which can be manipulated as a security concern</v>
      </c>
    </row>
    <row r="213" ht="14.25" customHeight="1">
      <c r="A213" s="1" t="str">
        <f>"Manhandled"</f>
        <v>Manhandled</v>
      </c>
      <c r="B213" s="1" t="str">
        <f t="shared" ref="B213:B216" si="184">"0"</f>
        <v>0</v>
      </c>
      <c r="C213" s="1" t="str">
        <f t="shared" ref="C213:C216" si="185">"n/a"</f>
        <v>n/a</v>
      </c>
      <c r="D213" s="1" t="str">
        <f>"Austin Foxxe"</f>
        <v>Austin Foxxe</v>
      </c>
      <c r="E213" s="1" t="str">
        <f t="shared" si="181"/>
        <v>31</v>
      </c>
      <c r="F213" s="1" t="str">
        <f t="shared" si="182"/>
        <v>Book</v>
      </c>
      <c r="G213" s="1" t="str">
        <f>"43929"</f>
        <v>43929</v>
      </c>
      <c r="H213" s="1" t="str">
        <f t="shared" si="183"/>
        <v>2021-02-16</v>
      </c>
      <c r="I213" s="1" t="str">
        <f t="shared" si="6"/>
        <v>2</v>
      </c>
      <c r="J213" s="1" t="str">
        <f t="shared" si="7"/>
        <v>Rejected All</v>
      </c>
      <c r="L213" s="1" t="str">
        <f>"44332"</f>
        <v>44332</v>
      </c>
      <c r="M213" s="1" t="str">
        <f>"43"</f>
        <v>43</v>
      </c>
      <c r="N213" s="1" t="str">
        <f>"containing written sexually explicit / sado-masochistic behavior"</f>
        <v>containing written sexually explicit / sado-masochistic behavior</v>
      </c>
    </row>
    <row r="214" ht="14.25" customHeight="1">
      <c r="A214" s="1" t="str">
        <f>"For the Love of Pawpaws"</f>
        <v>For the Love of Pawpaws</v>
      </c>
      <c r="B214" s="1" t="str">
        <f t="shared" si="184"/>
        <v>0</v>
      </c>
      <c r="C214" s="1" t="str">
        <f t="shared" si="185"/>
        <v>n/a</v>
      </c>
      <c r="D214" s="1" t="str">
        <f>"Michael Judd"</f>
        <v>Michael Judd</v>
      </c>
      <c r="E214" s="1" t="str">
        <f t="shared" si="181"/>
        <v>31</v>
      </c>
      <c r="F214" s="1" t="str">
        <f t="shared" si="182"/>
        <v>Book</v>
      </c>
      <c r="G214" s="1" t="str">
        <f>"43972"</f>
        <v>43972</v>
      </c>
      <c r="H214" s="1" t="str">
        <f t="shared" si="183"/>
        <v>2021-02-16</v>
      </c>
      <c r="I214" s="1" t="str">
        <f t="shared" si="6"/>
        <v>2</v>
      </c>
      <c r="J214" s="1" t="str">
        <f t="shared" si="7"/>
        <v>Rejected All</v>
      </c>
      <c r="L214" s="1" t="str">
        <f>"44376"</f>
        <v>44376</v>
      </c>
      <c r="M214" s="1" t="str">
        <f>"7"</f>
        <v>7</v>
      </c>
      <c r="N214" s="1" t="str">
        <f>"describing procedures to brew alcohol or manufacture drugs"</f>
        <v>describing procedures to brew alcohol or manufacture drugs</v>
      </c>
    </row>
    <row r="215" ht="14.25" customHeight="1">
      <c r="A215" s="1" t="str">
        <f>"Comprehensive Cannabis Business Book"</f>
        <v>Comprehensive Cannabis Business Book</v>
      </c>
      <c r="B215" s="1" t="str">
        <f t="shared" si="184"/>
        <v>0</v>
      </c>
      <c r="C215" s="1" t="str">
        <f t="shared" si="185"/>
        <v>n/a</v>
      </c>
      <c r="D215" s="1" t="str">
        <f>"Alex Paul"</f>
        <v>Alex Paul</v>
      </c>
      <c r="E215" s="1" t="str">
        <f t="shared" si="181"/>
        <v>31</v>
      </c>
      <c r="F215" s="1" t="str">
        <f t="shared" si="182"/>
        <v>Book</v>
      </c>
      <c r="G215" s="1" t="str">
        <f>"44083"</f>
        <v>44083</v>
      </c>
      <c r="H215" s="1" t="str">
        <f t="shared" si="183"/>
        <v>2021-02-16</v>
      </c>
      <c r="I215" s="1" t="str">
        <f t="shared" si="6"/>
        <v>2</v>
      </c>
      <c r="J215" s="1" t="str">
        <f t="shared" si="7"/>
        <v>Rejected All</v>
      </c>
      <c r="L215" s="1" t="str">
        <f>"44487"</f>
        <v>44487</v>
      </c>
      <c r="M215" s="1" t="str">
        <f>"10"</f>
        <v>10</v>
      </c>
      <c r="N215" s="1" t="str">
        <f>"encouraging or instructing on the commision of criminal activity"</f>
        <v>encouraging or instructing on the commision of criminal activity</v>
      </c>
    </row>
    <row r="216" ht="14.25" customHeight="1">
      <c r="A216" s="1" t="str">
        <f>"MCMAP"</f>
        <v>MCMAP</v>
      </c>
      <c r="B216" s="1" t="str">
        <f t="shared" si="184"/>
        <v>0</v>
      </c>
      <c r="C216" s="1" t="str">
        <f t="shared" si="185"/>
        <v>n/a</v>
      </c>
      <c r="D216" s="1" t="str">
        <f>"Marine Corps Martial Arts Prograom"</f>
        <v>Marine Corps Martial Arts Prograom</v>
      </c>
      <c r="E216" s="1" t="str">
        <f t="shared" si="181"/>
        <v>31</v>
      </c>
      <c r="F216" s="1" t="str">
        <f t="shared" si="182"/>
        <v>Book</v>
      </c>
      <c r="G216" s="1" t="str">
        <f>"44089"</f>
        <v>44089</v>
      </c>
      <c r="H216" s="1" t="str">
        <f t="shared" si="183"/>
        <v>2021-02-16</v>
      </c>
      <c r="I216" s="1" t="str">
        <f t="shared" si="6"/>
        <v>2</v>
      </c>
      <c r="J216" s="1" t="str">
        <f t="shared" si="7"/>
        <v>Rejected All</v>
      </c>
      <c r="L216" s="1" t="str">
        <f>"44493"</f>
        <v>44493</v>
      </c>
      <c r="M216" s="1" t="str">
        <f>"9"</f>
        <v>9</v>
      </c>
      <c r="N216" s="1" t="str">
        <f>"describing or encouraging physical violence or group disruption"</f>
        <v>describing or encouraging physical violence or group disruption</v>
      </c>
    </row>
    <row r="217" ht="14.25" customHeight="1">
      <c r="A217" s="1" t="str">
        <f>"Demonizer Zilch"</f>
        <v>Demonizer Zilch</v>
      </c>
      <c r="B217" s="1" t="str">
        <f>"9523"</f>
        <v>9523</v>
      </c>
      <c r="C217" s="1" t="str">
        <f>"#5 Final"</f>
        <v>#5 Final</v>
      </c>
      <c r="D217" s="1" t="str">
        <f>"Milan Matra"</f>
        <v>Milan Matra</v>
      </c>
      <c r="E217" s="1" t="str">
        <f t="shared" si="181"/>
        <v>31</v>
      </c>
      <c r="F217" s="1" t="str">
        <f t="shared" si="182"/>
        <v>Book</v>
      </c>
      <c r="G217" s="1" t="str">
        <f>"44224"</f>
        <v>44224</v>
      </c>
      <c r="H217" s="1" t="str">
        <f t="shared" ref="H217:H234" si="186">"2021-03-02"</f>
        <v>2021-03-02</v>
      </c>
      <c r="I217" s="1" t="str">
        <f t="shared" si="6"/>
        <v>2</v>
      </c>
      <c r="J217" s="1" t="str">
        <f t="shared" si="7"/>
        <v>Rejected All</v>
      </c>
      <c r="L217" s="1" t="str">
        <f>"44629"</f>
        <v>44629</v>
      </c>
      <c r="M217" s="1" t="str">
        <f>"42"</f>
        <v>42</v>
      </c>
      <c r="N217" s="1" t="str">
        <f>"containing pictorially explicit nudity"</f>
        <v>containing pictorially explicit nudity</v>
      </c>
    </row>
    <row r="218" ht="14.25" customHeight="1">
      <c r="A218" s="1" t="str">
        <f>"Make Me"</f>
        <v>Make Me</v>
      </c>
      <c r="B218" s="1" t="str">
        <f>"9513"</f>
        <v>9513</v>
      </c>
      <c r="C218" s="1" t="str">
        <f>"A Complete Novel"</f>
        <v>A Complete Novel</v>
      </c>
      <c r="D218" s="1" t="str">
        <f>"Beth Kery"</f>
        <v>Beth Kery</v>
      </c>
      <c r="E218" s="1" t="str">
        <f t="shared" si="181"/>
        <v>31</v>
      </c>
      <c r="F218" s="1" t="str">
        <f t="shared" si="182"/>
        <v>Book</v>
      </c>
      <c r="G218" s="1" t="str">
        <f>"44198"</f>
        <v>44198</v>
      </c>
      <c r="H218" s="1" t="str">
        <f t="shared" si="186"/>
        <v>2021-03-02</v>
      </c>
      <c r="I218" s="1" t="str">
        <f t="shared" si="6"/>
        <v>2</v>
      </c>
      <c r="J218" s="1" t="str">
        <f t="shared" si="7"/>
        <v>Rejected All</v>
      </c>
      <c r="L218" s="1" t="str">
        <f>"44603"</f>
        <v>44603</v>
      </c>
      <c r="M218" s="1" t="str">
        <f>"43"</f>
        <v>43</v>
      </c>
      <c r="N218" s="1" t="str">
        <f>"containing written sexually explicit / sado-masochistic behavior"</f>
        <v>containing written sexually explicit / sado-masochistic behavior</v>
      </c>
    </row>
    <row r="219" ht="14.25" customHeight="1">
      <c r="A219" s="1" t="str">
        <f>"Un/sacred"</f>
        <v>Un/sacred</v>
      </c>
      <c r="B219" s="1" t="str">
        <f>"9551"</f>
        <v>9551</v>
      </c>
      <c r="C219" s="1" t="str">
        <f>"Ablaze 3 Vol. 2"</f>
        <v>Ablaze 3 Vol. 2</v>
      </c>
      <c r="D219" s="1" t="str">
        <f>"Mirka Andolfo"</f>
        <v>Mirka Andolfo</v>
      </c>
      <c r="E219" s="1" t="str">
        <f t="shared" si="181"/>
        <v>31</v>
      </c>
      <c r="F219" s="1" t="str">
        <f t="shared" si="182"/>
        <v>Book</v>
      </c>
      <c r="G219" s="1" t="str">
        <f>"44283"</f>
        <v>44283</v>
      </c>
      <c r="H219" s="1" t="str">
        <f t="shared" si="186"/>
        <v>2021-03-02</v>
      </c>
      <c r="I219" s="1" t="str">
        <f t="shared" si="6"/>
        <v>2</v>
      </c>
      <c r="J219" s="1" t="str">
        <f t="shared" si="7"/>
        <v>Rejected All</v>
      </c>
      <c r="L219" s="1" t="str">
        <f>"44687"</f>
        <v>44687</v>
      </c>
      <c r="M219" s="1" t="str">
        <f>"42"</f>
        <v>42</v>
      </c>
      <c r="N219" s="1" t="str">
        <f>"containing pictorially explicit nudity"</f>
        <v>containing pictorially explicit nudity</v>
      </c>
    </row>
    <row r="220" ht="14.25" customHeight="1">
      <c r="A220" s="1" t="str">
        <f>"Lace"</f>
        <v>Lace</v>
      </c>
      <c r="B220" s="1" t="str">
        <f>"9512"</f>
        <v>9512</v>
      </c>
      <c r="C220" s="1" t="s">
        <v>9</v>
      </c>
      <c r="D220" s="1" t="str">
        <f>"Shirley Conran"</f>
        <v>Shirley Conran</v>
      </c>
      <c r="E220" s="1" t="str">
        <f t="shared" si="181"/>
        <v>31</v>
      </c>
      <c r="F220" s="1" t="str">
        <f t="shared" si="182"/>
        <v>Book</v>
      </c>
      <c r="G220" s="1" t="str">
        <f>"44195"</f>
        <v>44195</v>
      </c>
      <c r="H220" s="1" t="str">
        <f t="shared" si="186"/>
        <v>2021-03-02</v>
      </c>
      <c r="I220" s="1" t="str">
        <f t="shared" si="6"/>
        <v>2</v>
      </c>
      <c r="J220" s="1" t="str">
        <f t="shared" si="7"/>
        <v>Rejected All</v>
      </c>
      <c r="L220" s="1" t="str">
        <f>"44600"</f>
        <v>44600</v>
      </c>
      <c r="M220" s="1" t="str">
        <f>"45"</f>
        <v>45</v>
      </c>
      <c r="N220" s="1" t="str">
        <f>"containing written sexually explicit material involving minors"</f>
        <v>containing written sexually explicit material involving minors</v>
      </c>
    </row>
    <row r="221" ht="14.25" customHeight="1">
      <c r="A221" s="1" t="str">
        <f>"The Claiming of Sleeping Beauty"</f>
        <v>The Claiming of Sleeping Beauty</v>
      </c>
      <c r="B221" s="1" t="str">
        <f>"9511"</f>
        <v>9511</v>
      </c>
      <c r="C221" s="1" t="s">
        <v>10</v>
      </c>
      <c r="D221" s="1" t="str">
        <f>"Anne Rice"</f>
        <v>Anne Rice</v>
      </c>
      <c r="E221" s="1" t="str">
        <f t="shared" si="181"/>
        <v>31</v>
      </c>
      <c r="F221" s="1" t="str">
        <f t="shared" si="182"/>
        <v>Book</v>
      </c>
      <c r="G221" s="1" t="str">
        <f>"44194"</f>
        <v>44194</v>
      </c>
      <c r="H221" s="1" t="str">
        <f t="shared" si="186"/>
        <v>2021-03-02</v>
      </c>
      <c r="I221" s="1" t="str">
        <f t="shared" si="6"/>
        <v>2</v>
      </c>
      <c r="J221" s="1" t="str">
        <f t="shared" si="7"/>
        <v>Rejected All</v>
      </c>
      <c r="L221" s="1" t="str">
        <f>"44599"</f>
        <v>44599</v>
      </c>
      <c r="M221" s="1" t="str">
        <f>"43"</f>
        <v>43</v>
      </c>
      <c r="N221" s="1" t="str">
        <f>"containing written sexually explicit / sado-masochistic behavior"</f>
        <v>containing written sexually explicit / sado-masochistic behavior</v>
      </c>
    </row>
    <row r="222" ht="14.25" customHeight="1">
      <c r="A222" s="1" t="str">
        <f>"Mercy "</f>
        <v>Mercy </v>
      </c>
      <c r="B222" s="1" t="str">
        <f>"9550"</f>
        <v>9550</v>
      </c>
      <c r="C222" s="1" t="str">
        <f>"Images Firsts #1"</f>
        <v>Images Firsts #1</v>
      </c>
      <c r="D222" s="1" t="str">
        <f>"Mirka Andolfo"</f>
        <v>Mirka Andolfo</v>
      </c>
      <c r="E222" s="1" t="str">
        <f t="shared" si="181"/>
        <v>31</v>
      </c>
      <c r="F222" s="1" t="str">
        <f t="shared" si="182"/>
        <v>Book</v>
      </c>
      <c r="G222" s="1" t="str">
        <f>"44277"</f>
        <v>44277</v>
      </c>
      <c r="H222" s="1" t="str">
        <f t="shared" si="186"/>
        <v>2021-03-02</v>
      </c>
      <c r="I222" s="1" t="str">
        <f t="shared" si="6"/>
        <v>2</v>
      </c>
      <c r="J222" s="1" t="str">
        <f t="shared" si="7"/>
        <v>Rejected All</v>
      </c>
      <c r="L222" s="1" t="str">
        <f>"44681"</f>
        <v>44681</v>
      </c>
      <c r="M222" s="1" t="str">
        <f>"41"</f>
        <v>41</v>
      </c>
      <c r="N222" s="1" t="str">
        <f>"containing pictorially explicit sexual activity"</f>
        <v>containing pictorially explicit sexual activity</v>
      </c>
    </row>
    <row r="223" ht="14.25" customHeight="1">
      <c r="A223" s="1" t="str">
        <f>"Bare It All"</f>
        <v>Bare It All</v>
      </c>
      <c r="B223" s="1" t="str">
        <f t="shared" ref="B223:B232" si="187">"0"</f>
        <v>0</v>
      </c>
      <c r="C223" s="1" t="str">
        <f t="shared" ref="C223:C232" si="188">"n/a"</f>
        <v>n/a</v>
      </c>
      <c r="D223" s="1" t="str">
        <f>"Barbara Jenson"</f>
        <v>Barbara Jenson</v>
      </c>
      <c r="E223" s="1" t="str">
        <f t="shared" si="181"/>
        <v>31</v>
      </c>
      <c r="F223" s="1" t="str">
        <f t="shared" si="182"/>
        <v>Book</v>
      </c>
      <c r="G223" s="1" t="str">
        <f>"44126"</f>
        <v>44126</v>
      </c>
      <c r="H223" s="1" t="str">
        <f t="shared" si="186"/>
        <v>2021-03-02</v>
      </c>
      <c r="I223" s="1" t="str">
        <f t="shared" si="6"/>
        <v>2</v>
      </c>
      <c r="J223" s="1" t="str">
        <f t="shared" si="7"/>
        <v>Rejected All</v>
      </c>
      <c r="L223" s="1" t="str">
        <f>"44529"</f>
        <v>44529</v>
      </c>
      <c r="M223" s="1" t="str">
        <f>"42"</f>
        <v>42</v>
      </c>
      <c r="N223" s="1" t="str">
        <f>"containing pictorially explicit nudity"</f>
        <v>containing pictorially explicit nudity</v>
      </c>
    </row>
    <row r="224" ht="14.25" customHeight="1">
      <c r="A224" s="1" t="str">
        <f>"Starport"</f>
        <v>Starport</v>
      </c>
      <c r="B224" s="1" t="str">
        <f t="shared" si="187"/>
        <v>0</v>
      </c>
      <c r="C224" s="1" t="str">
        <f t="shared" si="188"/>
        <v>n/a</v>
      </c>
      <c r="D224" s="1" t="str">
        <f>"George R.R. Martin"</f>
        <v>George R.R. Martin</v>
      </c>
      <c r="E224" s="1" t="str">
        <f t="shared" si="181"/>
        <v>31</v>
      </c>
      <c r="F224" s="1" t="str">
        <f t="shared" si="182"/>
        <v>Book</v>
      </c>
      <c r="G224" s="1" t="str">
        <f>"44175"</f>
        <v>44175</v>
      </c>
      <c r="H224" s="1" t="str">
        <f t="shared" si="186"/>
        <v>2021-03-02</v>
      </c>
      <c r="I224" s="1" t="str">
        <f t="shared" si="6"/>
        <v>2</v>
      </c>
      <c r="J224" s="1" t="str">
        <f t="shared" si="7"/>
        <v>Rejected All</v>
      </c>
      <c r="L224" s="1" t="str">
        <f>"44580"</f>
        <v>44580</v>
      </c>
      <c r="M224" s="1" t="str">
        <f t="shared" ref="M224:M225" si="189">"41"</f>
        <v>41</v>
      </c>
      <c r="N224" s="1" t="str">
        <f t="shared" ref="N224:N225" si="190">"containing pictorially explicit sexual activity"</f>
        <v>containing pictorially explicit sexual activity</v>
      </c>
    </row>
    <row r="225" ht="14.25" customHeight="1">
      <c r="A225" s="1" t="str">
        <f>"Beautiful Bastard"</f>
        <v>Beautiful Bastard</v>
      </c>
      <c r="B225" s="1" t="str">
        <f t="shared" si="187"/>
        <v>0</v>
      </c>
      <c r="C225" s="1" t="str">
        <f t="shared" si="188"/>
        <v>n/a</v>
      </c>
      <c r="D225" s="1" t="str">
        <f>"Christina Lauren"</f>
        <v>Christina Lauren</v>
      </c>
      <c r="E225" s="1" t="str">
        <f t="shared" si="181"/>
        <v>31</v>
      </c>
      <c r="F225" s="1" t="str">
        <f t="shared" si="182"/>
        <v>Book</v>
      </c>
      <c r="G225" s="1" t="str">
        <f>"44193"</f>
        <v>44193</v>
      </c>
      <c r="H225" s="1" t="str">
        <f t="shared" si="186"/>
        <v>2021-03-02</v>
      </c>
      <c r="I225" s="1" t="str">
        <f t="shared" si="6"/>
        <v>2</v>
      </c>
      <c r="J225" s="1" t="str">
        <f t="shared" si="7"/>
        <v>Rejected All</v>
      </c>
      <c r="L225" s="1" t="str">
        <f>"44598"</f>
        <v>44598</v>
      </c>
      <c r="M225" s="1" t="str">
        <f t="shared" si="189"/>
        <v>41</v>
      </c>
      <c r="N225" s="1" t="str">
        <f t="shared" si="190"/>
        <v>containing pictorially explicit sexual activity</v>
      </c>
    </row>
    <row r="226" ht="14.25" customHeight="1">
      <c r="A226" s="1" t="str">
        <f>"The Broken Vessel"</f>
        <v>The Broken Vessel</v>
      </c>
      <c r="B226" s="1" t="str">
        <f t="shared" si="187"/>
        <v>0</v>
      </c>
      <c r="C226" s="1" t="str">
        <f t="shared" si="188"/>
        <v>n/a</v>
      </c>
      <c r="D226" s="1" t="str">
        <f>"Dody Davis"</f>
        <v>Dody Davis</v>
      </c>
      <c r="E226" s="1" t="str">
        <f t="shared" si="181"/>
        <v>31</v>
      </c>
      <c r="F226" s="1" t="str">
        <f t="shared" si="182"/>
        <v>Book</v>
      </c>
      <c r="G226" s="1" t="str">
        <f>"44196"</f>
        <v>44196</v>
      </c>
      <c r="H226" s="1" t="str">
        <f t="shared" si="186"/>
        <v>2021-03-02</v>
      </c>
      <c r="I226" s="1" t="str">
        <f t="shared" si="6"/>
        <v>2</v>
      </c>
      <c r="J226" s="1" t="str">
        <f t="shared" si="7"/>
        <v>Rejected All</v>
      </c>
      <c r="L226" s="1" t="str">
        <f>"44601"</f>
        <v>44601</v>
      </c>
      <c r="M226" s="1" t="str">
        <f t="shared" ref="M226:M228" si="191">"10"</f>
        <v>10</v>
      </c>
      <c r="N226" s="1" t="str">
        <f t="shared" ref="N226:N228" si="192">"encouraging or instructing on the commision of criminal activity"</f>
        <v>encouraging or instructing on the commision of criminal activity</v>
      </c>
    </row>
    <row r="227" ht="14.25" customHeight="1">
      <c r="A227" s="1" t="str">
        <f>"Underworld Zilla"</f>
        <v>Underworld Zilla</v>
      </c>
      <c r="B227" s="1" t="str">
        <f t="shared" si="187"/>
        <v>0</v>
      </c>
      <c r="C227" s="1" t="str">
        <f t="shared" si="188"/>
        <v>n/a</v>
      </c>
      <c r="D227" s="1" t="str">
        <f>"Mike Enemigo and King Guru"</f>
        <v>Mike Enemigo and King Guru</v>
      </c>
      <c r="E227" s="1" t="str">
        <f t="shared" si="181"/>
        <v>31</v>
      </c>
      <c r="F227" s="1" t="str">
        <f t="shared" si="182"/>
        <v>Book</v>
      </c>
      <c r="G227" s="1" t="str">
        <f>"44197"</f>
        <v>44197</v>
      </c>
      <c r="H227" s="1" t="str">
        <f t="shared" si="186"/>
        <v>2021-03-02</v>
      </c>
      <c r="I227" s="1" t="str">
        <f t="shared" si="6"/>
        <v>2</v>
      </c>
      <c r="J227" s="1" t="str">
        <f t="shared" si="7"/>
        <v>Rejected All</v>
      </c>
      <c r="L227" s="1" t="str">
        <f>"44602"</f>
        <v>44602</v>
      </c>
      <c r="M227" s="1" t="str">
        <f t="shared" si="191"/>
        <v>10</v>
      </c>
      <c r="N227" s="1" t="str">
        <f t="shared" si="192"/>
        <v>encouraging or instructing on the commision of criminal activity</v>
      </c>
    </row>
    <row r="228" ht="14.25" customHeight="1">
      <c r="A228" s="1" t="str">
        <f>"100 Best Cannabis Strains"</f>
        <v>100 Best Cannabis Strains</v>
      </c>
      <c r="B228" s="1" t="str">
        <f t="shared" si="187"/>
        <v>0</v>
      </c>
      <c r="C228" s="1" t="str">
        <f t="shared" si="188"/>
        <v>n/a</v>
      </c>
      <c r="D228" s="1" t="str">
        <f>"Michael Blood"</f>
        <v>Michael Blood</v>
      </c>
      <c r="E228" s="1" t="str">
        <f t="shared" si="181"/>
        <v>31</v>
      </c>
      <c r="F228" s="1" t="str">
        <f t="shared" si="182"/>
        <v>Book</v>
      </c>
      <c r="G228" s="1" t="str">
        <f>"44220"</f>
        <v>44220</v>
      </c>
      <c r="H228" s="1" t="str">
        <f t="shared" si="186"/>
        <v>2021-03-02</v>
      </c>
      <c r="I228" s="1" t="str">
        <f t="shared" si="6"/>
        <v>2</v>
      </c>
      <c r="J228" s="1" t="str">
        <f t="shared" si="7"/>
        <v>Rejected All</v>
      </c>
      <c r="L228" s="1" t="str">
        <f>"44625"</f>
        <v>44625</v>
      </c>
      <c r="M228" s="1" t="str">
        <f t="shared" si="191"/>
        <v>10</v>
      </c>
      <c r="N228" s="1" t="str">
        <f t="shared" si="192"/>
        <v>encouraging or instructing on the commision of criminal activity</v>
      </c>
    </row>
    <row r="229" ht="14.25" customHeight="1">
      <c r="A229" s="1" t="str">
        <f>"How To Talk Dirty"</f>
        <v>How To Talk Dirty</v>
      </c>
      <c r="B229" s="1" t="str">
        <f t="shared" si="187"/>
        <v>0</v>
      </c>
      <c r="C229" s="1" t="str">
        <f t="shared" si="188"/>
        <v>n/a</v>
      </c>
      <c r="D229" s="1" t="str">
        <f>"Natalie Robinson"</f>
        <v>Natalie Robinson</v>
      </c>
      <c r="E229" s="1" t="str">
        <f t="shared" si="181"/>
        <v>31</v>
      </c>
      <c r="F229" s="1" t="str">
        <f t="shared" si="182"/>
        <v>Book</v>
      </c>
      <c r="G229" s="1" t="str">
        <f>"44225"</f>
        <v>44225</v>
      </c>
      <c r="H229" s="1" t="str">
        <f t="shared" si="186"/>
        <v>2021-03-02</v>
      </c>
      <c r="I229" s="1" t="str">
        <f t="shared" si="6"/>
        <v>2</v>
      </c>
      <c r="J229" s="1" t="str">
        <f t="shared" si="7"/>
        <v>Rejected All</v>
      </c>
      <c r="L229" s="1" t="str">
        <f>"44630"</f>
        <v>44630</v>
      </c>
      <c r="M229" s="1" t="str">
        <f>"43"</f>
        <v>43</v>
      </c>
      <c r="N229" s="1" t="str">
        <f>"containing written sexually explicit / sado-masochistic behavior"</f>
        <v>containing written sexually explicit / sado-masochistic behavior</v>
      </c>
    </row>
    <row r="230" ht="14.25" customHeight="1">
      <c r="A230" s="1" t="str">
        <f>"Games on Thrones 100 Things to do on the Loo"</f>
        <v>Games on Thrones 100 Things to do on the Loo</v>
      </c>
      <c r="B230" s="1" t="str">
        <f t="shared" si="187"/>
        <v>0</v>
      </c>
      <c r="C230" s="1" t="str">
        <f t="shared" si="188"/>
        <v>n/a</v>
      </c>
      <c r="D230" s="1" t="str">
        <f>"Michael Powell"</f>
        <v>Michael Powell</v>
      </c>
      <c r="E230" s="1" t="str">
        <f t="shared" si="181"/>
        <v>31</v>
      </c>
      <c r="F230" s="1" t="str">
        <f t="shared" si="182"/>
        <v>Book</v>
      </c>
      <c r="G230" s="1" t="str">
        <f>"44232"</f>
        <v>44232</v>
      </c>
      <c r="H230" s="1" t="str">
        <f t="shared" si="186"/>
        <v>2021-03-02</v>
      </c>
      <c r="I230" s="1" t="str">
        <f t="shared" si="6"/>
        <v>2</v>
      </c>
      <c r="J230" s="1" t="str">
        <f t="shared" si="7"/>
        <v>Rejected All</v>
      </c>
      <c r="L230" s="1" t="str">
        <f>"44637"</f>
        <v>44637</v>
      </c>
      <c r="M230" s="1" t="str">
        <f>"40"</f>
        <v>40</v>
      </c>
      <c r="N230" s="1" t="str">
        <f>"describing fighting techniques"</f>
        <v>describing fighting techniques</v>
      </c>
    </row>
    <row r="231" ht="14.25" customHeight="1">
      <c r="A231" s="1" t="str">
        <f>"The Art of Maxx Marshall"</f>
        <v>The Art of Maxx Marshall</v>
      </c>
      <c r="B231" s="1" t="str">
        <f t="shared" si="187"/>
        <v>0</v>
      </c>
      <c r="C231" s="1" t="str">
        <f t="shared" si="188"/>
        <v>n/a</v>
      </c>
      <c r="D231" s="1" t="str">
        <f>"Maxx Marshall"</f>
        <v>Maxx Marshall</v>
      </c>
      <c r="E231" s="1" t="str">
        <f t="shared" si="181"/>
        <v>31</v>
      </c>
      <c r="F231" s="1" t="str">
        <f t="shared" si="182"/>
        <v>Book</v>
      </c>
      <c r="G231" s="1" t="str">
        <f>"44280"</f>
        <v>44280</v>
      </c>
      <c r="H231" s="1" t="str">
        <f t="shared" si="186"/>
        <v>2021-03-02</v>
      </c>
      <c r="I231" s="1" t="str">
        <f t="shared" si="6"/>
        <v>2</v>
      </c>
      <c r="J231" s="1" t="str">
        <f t="shared" si="7"/>
        <v>Rejected All</v>
      </c>
      <c r="L231" s="1" t="str">
        <f>"44684"</f>
        <v>44684</v>
      </c>
      <c r="M231" s="1" t="str">
        <f t="shared" ref="M231:M232" si="193">"42"</f>
        <v>42</v>
      </c>
      <c r="N231" s="1" t="str">
        <f t="shared" ref="N231:N232" si="194">"containing pictorially explicit nudity"</f>
        <v>containing pictorially explicit nudity</v>
      </c>
    </row>
    <row r="232" ht="14.25" customHeight="1">
      <c r="A232" s="1" t="str">
        <f>"The Art of Pelaez"</f>
        <v>The Art of Pelaez</v>
      </c>
      <c r="B232" s="1" t="str">
        <f t="shared" si="187"/>
        <v>0</v>
      </c>
      <c r="C232" s="1" t="str">
        <f t="shared" si="188"/>
        <v>n/a</v>
      </c>
      <c r="D232" s="1" t="str">
        <f>"Pelaez"</f>
        <v>Pelaez</v>
      </c>
      <c r="E232" s="1" t="str">
        <f t="shared" si="181"/>
        <v>31</v>
      </c>
      <c r="F232" s="1" t="str">
        <f t="shared" si="182"/>
        <v>Book</v>
      </c>
      <c r="G232" s="1" t="str">
        <f>"44281"</f>
        <v>44281</v>
      </c>
      <c r="H232" s="1" t="str">
        <f t="shared" si="186"/>
        <v>2021-03-02</v>
      </c>
      <c r="I232" s="1" t="str">
        <f t="shared" si="6"/>
        <v>2</v>
      </c>
      <c r="J232" s="1" t="str">
        <f t="shared" si="7"/>
        <v>Rejected All</v>
      </c>
      <c r="L232" s="1" t="str">
        <f>"44685"</f>
        <v>44685</v>
      </c>
      <c r="M232" s="1" t="str">
        <f t="shared" si="193"/>
        <v>42</v>
      </c>
      <c r="N232" s="1" t="str">
        <f t="shared" si="194"/>
        <v>containing pictorially explicit nudity</v>
      </c>
    </row>
    <row r="233" ht="14.25" customHeight="1">
      <c r="A233" s="1" t="str">
        <f t="shared" ref="A233:A234" si="195">"Easyriders"</f>
        <v>Easyriders</v>
      </c>
      <c r="B233" s="1" t="str">
        <f>"9530"</f>
        <v>9530</v>
      </c>
      <c r="C233" s="1" t="str">
        <f>"August 2019 #553"</f>
        <v>August 2019 #553</v>
      </c>
      <c r="E233" s="1" t="str">
        <f t="shared" ref="E233:E234" si="196">"32"</f>
        <v>32</v>
      </c>
      <c r="F233" s="1" t="str">
        <f t="shared" ref="F233:F234" si="197">"Magazine/Newspaper"</f>
        <v>Magazine/Newspaper</v>
      </c>
      <c r="G233" s="1" t="str">
        <f>"44244"</f>
        <v>44244</v>
      </c>
      <c r="H233" s="1" t="str">
        <f t="shared" si="186"/>
        <v>2021-03-02</v>
      </c>
      <c r="I233" s="1" t="str">
        <f t="shared" si="6"/>
        <v>2</v>
      </c>
      <c r="J233" s="1" t="str">
        <f t="shared" si="7"/>
        <v>Rejected All</v>
      </c>
      <c r="L233" s="1" t="str">
        <f>"44647"</f>
        <v>44647</v>
      </c>
      <c r="M233" s="1" t="str">
        <f t="shared" ref="M233:M234" si="198">"41"</f>
        <v>41</v>
      </c>
      <c r="N233" s="1" t="str">
        <f t="shared" ref="N233:N234" si="199">"containing pictorially explicit sexual activity"</f>
        <v>containing pictorially explicit sexual activity</v>
      </c>
    </row>
    <row r="234" ht="14.25" customHeight="1">
      <c r="A234" s="1" t="str">
        <f t="shared" si="195"/>
        <v>Easyriders</v>
      </c>
      <c r="B234" s="1" t="str">
        <f>"9529"</f>
        <v>9529</v>
      </c>
      <c r="C234" s="1" t="str">
        <f>"June 2019  #551"</f>
        <v>June 2019  #551</v>
      </c>
      <c r="E234" s="1" t="str">
        <f t="shared" si="196"/>
        <v>32</v>
      </c>
      <c r="F234" s="1" t="str">
        <f t="shared" si="197"/>
        <v>Magazine/Newspaper</v>
      </c>
      <c r="G234" s="1" t="str">
        <f>"44243"</f>
        <v>44243</v>
      </c>
      <c r="H234" s="1" t="str">
        <f t="shared" si="186"/>
        <v>2021-03-02</v>
      </c>
      <c r="I234" s="1" t="str">
        <f t="shared" si="6"/>
        <v>2</v>
      </c>
      <c r="J234" s="1" t="str">
        <f t="shared" si="7"/>
        <v>Rejected All</v>
      </c>
      <c r="L234" s="1" t="str">
        <f>"44646"</f>
        <v>44646</v>
      </c>
      <c r="M234" s="1" t="str">
        <f t="shared" si="198"/>
        <v>41</v>
      </c>
      <c r="N234" s="1" t="str">
        <f t="shared" si="199"/>
        <v>containing pictorially explicit sexual activity</v>
      </c>
    </row>
    <row r="235" ht="14.25" customHeight="1">
      <c r="A235" s="1" t="str">
        <f>"The Black Arts"</f>
        <v>The Black Arts</v>
      </c>
      <c r="B235" s="1" t="str">
        <f>"8606"</f>
        <v>8606</v>
      </c>
      <c r="C235" s="1" t="str">
        <f>"50th Anniversary"</f>
        <v>50th Anniversary</v>
      </c>
      <c r="D235" s="1" t="str">
        <f>"Richard Covendish"</f>
        <v>Richard Covendish</v>
      </c>
      <c r="E235" s="1" t="str">
        <f t="shared" ref="E235:E242" si="200">"31"</f>
        <v>31</v>
      </c>
      <c r="F235" s="1" t="str">
        <f t="shared" ref="F235:F242" si="201">"Book"</f>
        <v>Book</v>
      </c>
      <c r="G235" s="1" t="str">
        <f>"44414"</f>
        <v>44414</v>
      </c>
      <c r="H235" s="1" t="str">
        <f t="shared" ref="H235:H243" si="202">"2021-03-16"</f>
        <v>2021-03-16</v>
      </c>
      <c r="I235" s="1" t="str">
        <f t="shared" si="6"/>
        <v>2</v>
      </c>
      <c r="J235" s="1" t="str">
        <f t="shared" si="7"/>
        <v>Rejected All</v>
      </c>
      <c r="L235" s="1" t="str">
        <f>"44827"</f>
        <v>44827</v>
      </c>
      <c r="M235" s="1" t="str">
        <f>"8"</f>
        <v>8</v>
      </c>
      <c r="N235" s="1" t="str">
        <f>"containing writings in code"</f>
        <v>containing writings in code</v>
      </c>
    </row>
    <row r="236" ht="14.25" customHeight="1">
      <c r="A236" s="1" t="str">
        <f>"Coke Kings 2"</f>
        <v>Coke Kings 2</v>
      </c>
      <c r="B236" s="1" t="str">
        <f>"9574"</f>
        <v>9574</v>
      </c>
      <c r="C236" s="1" t="str">
        <f>"Blood Money and Betrayal"</f>
        <v>Blood Money and Betrayal</v>
      </c>
      <c r="D236" s="1" t="str">
        <f>"T. J. Edwards"</f>
        <v>T. J. Edwards</v>
      </c>
      <c r="E236" s="1" t="str">
        <f t="shared" si="200"/>
        <v>31</v>
      </c>
      <c r="F236" s="1" t="str">
        <f t="shared" si="201"/>
        <v>Book</v>
      </c>
      <c r="G236" s="1" t="str">
        <f>"44314"</f>
        <v>44314</v>
      </c>
      <c r="H236" s="1" t="str">
        <f t="shared" si="202"/>
        <v>2021-03-16</v>
      </c>
      <c r="I236" s="1" t="str">
        <f t="shared" si="6"/>
        <v>2</v>
      </c>
      <c r="J236" s="1" t="str">
        <f t="shared" si="7"/>
        <v>Rejected All</v>
      </c>
      <c r="L236" s="1" t="str">
        <f>"44719"</f>
        <v>44719</v>
      </c>
      <c r="M236" s="1" t="str">
        <f>"46"</f>
        <v>46</v>
      </c>
      <c r="N236" s="1" t="str">
        <f>"containing written sexually explicit material involving the use of force or non-consent"</f>
        <v>containing written sexually explicit material involving the use of force or non-consent</v>
      </c>
    </row>
    <row r="237" ht="14.25" customHeight="1">
      <c r="A237" s="1" t="str">
        <f>"The Complete Idiot&amp;#39;s Guide to Private Investigating"</f>
        <v>The Complete Idiot&amp;#39;s Guide to Private Investigating</v>
      </c>
      <c r="B237" s="1" t="str">
        <f t="shared" ref="B237:B239" si="203">"0"</f>
        <v>0</v>
      </c>
      <c r="C237" s="1" t="str">
        <f t="shared" ref="C237:C239" si="204">"n/a"</f>
        <v>n/a</v>
      </c>
      <c r="D237" s="1" t="str">
        <f>"Steven Kerry Brown"</f>
        <v>Steven Kerry Brown</v>
      </c>
      <c r="E237" s="1" t="str">
        <f t="shared" si="200"/>
        <v>31</v>
      </c>
      <c r="F237" s="1" t="str">
        <f t="shared" si="201"/>
        <v>Book</v>
      </c>
      <c r="G237" s="1" t="str">
        <f>"43964"</f>
        <v>43964</v>
      </c>
      <c r="H237" s="1" t="str">
        <f t="shared" si="202"/>
        <v>2021-03-16</v>
      </c>
      <c r="I237" s="1" t="str">
        <f t="shared" si="6"/>
        <v>2</v>
      </c>
      <c r="J237" s="1" t="str">
        <f t="shared" si="7"/>
        <v>Rejected All</v>
      </c>
      <c r="L237" s="1" t="str">
        <f>"44368"</f>
        <v>44368</v>
      </c>
      <c r="M237" s="1" t="str">
        <f>"10"</f>
        <v>10</v>
      </c>
      <c r="N237" s="1" t="str">
        <f>"encouraging or instructing on the commision of criminal activity"</f>
        <v>encouraging or instructing on the commision of criminal activity</v>
      </c>
    </row>
    <row r="238" ht="14.25" customHeight="1">
      <c r="A238" s="1" t="str">
        <f>"US Special OPS "</f>
        <v>US Special OPS </v>
      </c>
      <c r="B238" s="1" t="str">
        <f t="shared" si="203"/>
        <v>0</v>
      </c>
      <c r="C238" s="1" t="str">
        <f t="shared" si="204"/>
        <v>n/a</v>
      </c>
      <c r="D238" s="1" t="str">
        <f>"Fred Pushies"</f>
        <v>Fred Pushies</v>
      </c>
      <c r="E238" s="1" t="str">
        <f t="shared" si="200"/>
        <v>31</v>
      </c>
      <c r="F238" s="1" t="str">
        <f t="shared" si="201"/>
        <v>Book</v>
      </c>
      <c r="G238" s="1" t="str">
        <f>"44400"</f>
        <v>44400</v>
      </c>
      <c r="H238" s="1" t="str">
        <f t="shared" si="202"/>
        <v>2021-03-16</v>
      </c>
      <c r="I238" s="1" t="str">
        <f t="shared" si="6"/>
        <v>2</v>
      </c>
      <c r="J238" s="1" t="str">
        <f t="shared" si="7"/>
        <v>Rejected All</v>
      </c>
      <c r="L238" s="1" t="str">
        <f>"44807"</f>
        <v>44807</v>
      </c>
      <c r="M238" s="1" t="str">
        <f>"5"</f>
        <v>5</v>
      </c>
      <c r="N238" s="1" t="str">
        <f>"containing weapon construction procedures"</f>
        <v>containing weapon construction procedures</v>
      </c>
    </row>
    <row r="239" ht="14.25" customHeight="1">
      <c r="A239" s="1" t="str">
        <f>"Too Scared to Tell"</f>
        <v>Too Scared to Tell</v>
      </c>
      <c r="B239" s="1" t="str">
        <f t="shared" si="203"/>
        <v>0</v>
      </c>
      <c r="C239" s="1" t="str">
        <f t="shared" si="204"/>
        <v>n/a</v>
      </c>
      <c r="D239" s="1" t="str">
        <f>"Cathy Glass"</f>
        <v>Cathy Glass</v>
      </c>
      <c r="E239" s="1" t="str">
        <f t="shared" si="200"/>
        <v>31</v>
      </c>
      <c r="F239" s="1" t="str">
        <f t="shared" si="201"/>
        <v>Book</v>
      </c>
      <c r="G239" s="1" t="str">
        <f>"44413"</f>
        <v>44413</v>
      </c>
      <c r="H239" s="1" t="str">
        <f t="shared" si="202"/>
        <v>2021-03-16</v>
      </c>
      <c r="I239" s="1" t="str">
        <f t="shared" si="6"/>
        <v>2</v>
      </c>
      <c r="J239" s="1" t="str">
        <f t="shared" si="7"/>
        <v>Rejected All</v>
      </c>
      <c r="L239" s="1" t="str">
        <f>"44820"</f>
        <v>44820</v>
      </c>
      <c r="M239" s="1" t="str">
        <f>"45"</f>
        <v>45</v>
      </c>
      <c r="N239" s="1" t="str">
        <f>"containing written sexually explicit material involving minors"</f>
        <v>containing written sexually explicit material involving minors</v>
      </c>
    </row>
    <row r="240" ht="14.25" customHeight="1">
      <c r="A240" s="1" t="str">
        <f>"Punisher"</f>
        <v>Punisher</v>
      </c>
      <c r="B240" s="1" t="str">
        <f>"9634"</f>
        <v>9634</v>
      </c>
      <c r="C240" s="1" t="str">
        <f>"The Platoon"</f>
        <v>The Platoon</v>
      </c>
      <c r="D240" s="1" t="str">
        <f>"Max Comics"</f>
        <v>Max Comics</v>
      </c>
      <c r="E240" s="1" t="str">
        <f t="shared" si="200"/>
        <v>31</v>
      </c>
      <c r="F240" s="1" t="str">
        <f t="shared" si="201"/>
        <v>Book</v>
      </c>
      <c r="G240" s="1" t="str">
        <f>"44416"</f>
        <v>44416</v>
      </c>
      <c r="H240" s="1" t="str">
        <f t="shared" si="202"/>
        <v>2021-03-16</v>
      </c>
      <c r="I240" s="1" t="str">
        <f t="shared" si="6"/>
        <v>2</v>
      </c>
      <c r="J240" s="1" t="str">
        <f t="shared" si="7"/>
        <v>Rejected All</v>
      </c>
      <c r="L240" s="1" t="str">
        <f>"44823"</f>
        <v>44823</v>
      </c>
      <c r="M240" s="1" t="str">
        <f>"10"</f>
        <v>10</v>
      </c>
      <c r="N240" s="1" t="str">
        <f>"encouraging or instructing on the commision of criminal activity"</f>
        <v>encouraging or instructing on the commision of criminal activity</v>
      </c>
    </row>
    <row r="241" ht="14.25" customHeight="1">
      <c r="A241" s="1" t="str">
        <f>"Peter Grill and The Philosopher&amp;#39;s Time"</f>
        <v>Peter Grill and The Philosopher&amp;#39;s Time</v>
      </c>
      <c r="B241" s="1" t="str">
        <f>"4164"</f>
        <v>4164</v>
      </c>
      <c r="C241" s="1" t="str">
        <f>"Vol. 1"</f>
        <v>Vol. 1</v>
      </c>
      <c r="D241" s="1" t="str">
        <f>"Daisuke Hiyama"</f>
        <v>Daisuke Hiyama</v>
      </c>
      <c r="E241" s="1" t="str">
        <f t="shared" si="200"/>
        <v>31</v>
      </c>
      <c r="F241" s="1" t="str">
        <f t="shared" si="201"/>
        <v>Book</v>
      </c>
      <c r="G241" s="1" t="str">
        <f>"44285"</f>
        <v>44285</v>
      </c>
      <c r="H241" s="1" t="str">
        <f t="shared" si="202"/>
        <v>2021-03-16</v>
      </c>
      <c r="I241" s="1" t="str">
        <f t="shared" si="6"/>
        <v>2</v>
      </c>
      <c r="J241" s="1" t="str">
        <f t="shared" si="7"/>
        <v>Rejected All</v>
      </c>
      <c r="L241" s="1" t="str">
        <f>"44690"</f>
        <v>44690</v>
      </c>
      <c r="M241" s="1" t="str">
        <f t="shared" ref="M241:M242" si="205">"41"</f>
        <v>41</v>
      </c>
      <c r="N241" s="1" t="str">
        <f t="shared" ref="N241:N242" si="206">"containing pictorially explicit sexual activity"</f>
        <v>containing pictorially explicit sexual activity</v>
      </c>
    </row>
    <row r="242" ht="14.25" customHeight="1">
      <c r="A242" s="1" t="str">
        <f>"Cinema Sewer"</f>
        <v>Cinema Sewer</v>
      </c>
      <c r="B242" s="1" t="str">
        <f>"9562"</f>
        <v>9562</v>
      </c>
      <c r="C242" s="1" t="str">
        <f>"Volume Three"</f>
        <v>Volume Three</v>
      </c>
      <c r="D242" s="1" t="str">
        <f>"Robin Bougie"</f>
        <v>Robin Bougie</v>
      </c>
      <c r="E242" s="1" t="str">
        <f t="shared" si="200"/>
        <v>31</v>
      </c>
      <c r="F242" s="1" t="str">
        <f t="shared" si="201"/>
        <v>Book</v>
      </c>
      <c r="G242" s="1" t="str">
        <f>"44298"</f>
        <v>44298</v>
      </c>
      <c r="H242" s="1" t="str">
        <f t="shared" si="202"/>
        <v>2021-03-16</v>
      </c>
      <c r="I242" s="1" t="str">
        <f t="shared" si="6"/>
        <v>2</v>
      </c>
      <c r="J242" s="1" t="str">
        <f t="shared" si="7"/>
        <v>Rejected All</v>
      </c>
      <c r="L242" s="1" t="str">
        <f>"44703"</f>
        <v>44703</v>
      </c>
      <c r="M242" s="1" t="str">
        <f t="shared" si="205"/>
        <v>41</v>
      </c>
      <c r="N242" s="1" t="str">
        <f t="shared" si="206"/>
        <v>containing pictorially explicit sexual activity</v>
      </c>
    </row>
    <row r="243" ht="14.25" customHeight="1">
      <c r="A243" s="1" t="str">
        <f>"The Backwoodsman"</f>
        <v>The Backwoodsman</v>
      </c>
      <c r="B243" s="1" t="str">
        <f>"9552"</f>
        <v>9552</v>
      </c>
      <c r="C243" s="1" t="str">
        <f>"March/April 2021 Vol. 42 No. 2"</f>
        <v>March/April 2021 Vol. 42 No. 2</v>
      </c>
      <c r="E243" s="1" t="str">
        <f>"32"</f>
        <v>32</v>
      </c>
      <c r="F243" s="1" t="str">
        <f>"Magazine/Newspaper"</f>
        <v>Magazine/Newspaper</v>
      </c>
      <c r="G243" s="1" t="str">
        <f>"44284"</f>
        <v>44284</v>
      </c>
      <c r="H243" s="1" t="str">
        <f t="shared" si="202"/>
        <v>2021-03-16</v>
      </c>
      <c r="I243" s="1" t="str">
        <f t="shared" si="6"/>
        <v>2</v>
      </c>
      <c r="J243" s="1" t="str">
        <f t="shared" si="7"/>
        <v>Rejected All</v>
      </c>
      <c r="L243" s="1" t="str">
        <f>"44689"</f>
        <v>44689</v>
      </c>
      <c r="M243" s="1" t="str">
        <f>"9"</f>
        <v>9</v>
      </c>
      <c r="N243" s="1" t="str">
        <f>"describing or encouraging physical violence or group disruption"</f>
        <v>describing or encouraging physical violence or group disruption</v>
      </c>
    </row>
    <row r="244" ht="14.25" customHeight="1">
      <c r="A244" s="1" t="str">
        <f>"How To Make Love All Night"</f>
        <v>How To Make Love All Night</v>
      </c>
      <c r="B244" s="1" t="str">
        <f>"9698"</f>
        <v>9698</v>
      </c>
      <c r="C244" s="1" t="str">
        <f>"(And Drive a Woman Wild) Male Multiple Orgasm &amp;amp; Other Secrets for Prolonged Lovemaking"</f>
        <v>(And Drive a Woman Wild) Male Multiple Orgasm &amp;amp; Other Secrets for Prolonged Lovemaking</v>
      </c>
      <c r="D244" s="1" t="str">
        <f>"Barbara Keesling"</f>
        <v>Barbara Keesling</v>
      </c>
      <c r="E244" s="1" t="str">
        <f t="shared" ref="E244:E260" si="207">"31"</f>
        <v>31</v>
      </c>
      <c r="F244" s="1" t="str">
        <f t="shared" ref="F244:F260" si="208">"Book"</f>
        <v>Book</v>
      </c>
      <c r="G244" s="1" t="str">
        <f>"44520"</f>
        <v>44520</v>
      </c>
      <c r="H244" s="1" t="str">
        <f t="shared" ref="H244:H263" si="209">"2021-04-06"</f>
        <v>2021-04-06</v>
      </c>
      <c r="I244" s="1" t="str">
        <f t="shared" si="6"/>
        <v>2</v>
      </c>
      <c r="J244" s="1" t="str">
        <f t="shared" si="7"/>
        <v>Rejected All</v>
      </c>
      <c r="L244" s="1" t="str">
        <f>"44927"</f>
        <v>44927</v>
      </c>
      <c r="M244" s="1" t="str">
        <f t="shared" ref="M244:M246" si="210">"42"</f>
        <v>42</v>
      </c>
      <c r="N244" s="1" t="str">
        <f t="shared" ref="N244:N246" si="211">"containing pictorially explicit nudity"</f>
        <v>containing pictorially explicit nudity</v>
      </c>
    </row>
    <row r="245" ht="14.25" customHeight="1">
      <c r="A245" s="1" t="str">
        <f>"Deadpool Max"</f>
        <v>Deadpool Max</v>
      </c>
      <c r="B245" s="1" t="str">
        <f t="shared" ref="B245:B246" si="212">"9733"</f>
        <v>9733</v>
      </c>
      <c r="C245" s="1" t="str">
        <f t="shared" ref="C245:C246" si="213">"Involuntary Armagedon"</f>
        <v>Involuntary Armagedon</v>
      </c>
      <c r="D245" s="1" t="s">
        <v>11</v>
      </c>
      <c r="E245" s="1" t="str">
        <f t="shared" si="207"/>
        <v>31</v>
      </c>
      <c r="F245" s="1" t="str">
        <f t="shared" si="208"/>
        <v>Book</v>
      </c>
      <c r="G245" s="1" t="str">
        <f>"44580"</f>
        <v>44580</v>
      </c>
      <c r="H245" s="1" t="str">
        <f t="shared" si="209"/>
        <v>2021-04-06</v>
      </c>
      <c r="I245" s="1" t="str">
        <f t="shared" si="6"/>
        <v>2</v>
      </c>
      <c r="J245" s="1" t="str">
        <f t="shared" si="7"/>
        <v>Rejected All</v>
      </c>
      <c r="L245" s="1" t="str">
        <f>"44988"</f>
        <v>44988</v>
      </c>
      <c r="M245" s="1" t="str">
        <f t="shared" si="210"/>
        <v>42</v>
      </c>
      <c r="N245" s="1" t="str">
        <f t="shared" si="211"/>
        <v>containing pictorially explicit nudity</v>
      </c>
    </row>
    <row r="246" ht="14.25" customHeight="1">
      <c r="A246" s="1" t="str">
        <f>"Dead Pool Max"</f>
        <v>Dead Pool Max</v>
      </c>
      <c r="B246" s="1" t="str">
        <f t="shared" si="212"/>
        <v>9733</v>
      </c>
      <c r="C246" s="1" t="str">
        <f t="shared" si="213"/>
        <v>Involuntary Armagedon</v>
      </c>
      <c r="D246" s="1" t="s">
        <v>11</v>
      </c>
      <c r="E246" s="1" t="str">
        <f t="shared" si="207"/>
        <v>31</v>
      </c>
      <c r="F246" s="1" t="str">
        <f t="shared" si="208"/>
        <v>Book</v>
      </c>
      <c r="G246" s="1" t="str">
        <f>"44582"</f>
        <v>44582</v>
      </c>
      <c r="H246" s="1" t="str">
        <f t="shared" si="209"/>
        <v>2021-04-06</v>
      </c>
      <c r="I246" s="1" t="str">
        <f t="shared" si="6"/>
        <v>2</v>
      </c>
      <c r="J246" s="1" t="str">
        <f t="shared" si="7"/>
        <v>Rejected All</v>
      </c>
      <c r="L246" s="1" t="str">
        <f>"44990"</f>
        <v>44990</v>
      </c>
      <c r="M246" s="1" t="str">
        <f t="shared" si="210"/>
        <v>42</v>
      </c>
      <c r="N246" s="1" t="str">
        <f t="shared" si="211"/>
        <v>containing pictorially explicit nudity</v>
      </c>
    </row>
    <row r="247" ht="14.25" customHeight="1">
      <c r="A247" s="1" t="str">
        <f>"DIY For Prisoners "</f>
        <v>DIY For Prisoners </v>
      </c>
      <c r="B247" s="1" t="str">
        <f t="shared" ref="B247:B254" si="214">"0"</f>
        <v>0</v>
      </c>
      <c r="C247" s="1" t="str">
        <f t="shared" ref="C247:C254" si="215">"n/a"</f>
        <v>n/a</v>
      </c>
      <c r="D247" s="1" t="str">
        <f>"Tanner George Cummings"</f>
        <v>Tanner George Cummings</v>
      </c>
      <c r="E247" s="1" t="str">
        <f t="shared" si="207"/>
        <v>31</v>
      </c>
      <c r="F247" s="1" t="str">
        <f t="shared" si="208"/>
        <v>Book</v>
      </c>
      <c r="G247" s="1" t="str">
        <f>"44436"</f>
        <v>44436</v>
      </c>
      <c r="H247" s="1" t="str">
        <f t="shared" si="209"/>
        <v>2021-04-06</v>
      </c>
      <c r="I247" s="1" t="str">
        <f t="shared" si="6"/>
        <v>2</v>
      </c>
      <c r="J247" s="1" t="str">
        <f t="shared" si="7"/>
        <v>Rejected All</v>
      </c>
      <c r="L247" s="1" t="str">
        <f>"44845"</f>
        <v>44845</v>
      </c>
      <c r="M247" s="1" t="str">
        <f>"39"</f>
        <v>39</v>
      </c>
      <c r="N247" s="1" t="str">
        <f>"being detrimental to security for the following reason:"</f>
        <v>being detrimental to security for the following reason:</v>
      </c>
    </row>
    <row r="248" ht="14.25" customHeight="1">
      <c r="A248" s="1" t="str">
        <f>"Jail House Cuisine"</f>
        <v>Jail House Cuisine</v>
      </c>
      <c r="B248" s="1" t="str">
        <f t="shared" si="214"/>
        <v>0</v>
      </c>
      <c r="C248" s="1" t="str">
        <f t="shared" si="215"/>
        <v>n/a</v>
      </c>
      <c r="D248" s="1" t="str">
        <f>"Louise Mathews"</f>
        <v>Louise Mathews</v>
      </c>
      <c r="E248" s="1" t="str">
        <f t="shared" si="207"/>
        <v>31</v>
      </c>
      <c r="F248" s="1" t="str">
        <f t="shared" si="208"/>
        <v>Book</v>
      </c>
      <c r="G248" s="1" t="str">
        <f>"44440"</f>
        <v>44440</v>
      </c>
      <c r="H248" s="1" t="str">
        <f t="shared" si="209"/>
        <v>2021-04-06</v>
      </c>
      <c r="I248" s="1" t="str">
        <f t="shared" si="6"/>
        <v>2</v>
      </c>
      <c r="J248" s="1" t="str">
        <f t="shared" si="7"/>
        <v>Rejected All</v>
      </c>
      <c r="L248" s="1" t="str">
        <f>"44848"</f>
        <v>44848</v>
      </c>
      <c r="M248" s="1" t="str">
        <f>"7"</f>
        <v>7</v>
      </c>
      <c r="N248" s="1" t="str">
        <f>"describing procedures to brew alcohol or manufacture drugs"</f>
        <v>describing procedures to brew alcohol or manufacture drugs</v>
      </c>
    </row>
    <row r="249" ht="14.25" customHeight="1">
      <c r="A249" s="1" t="str">
        <f>"Sex-Ed 101"</f>
        <v>Sex-Ed 101</v>
      </c>
      <c r="B249" s="1" t="str">
        <f t="shared" si="214"/>
        <v>0</v>
      </c>
      <c r="C249" s="1" t="str">
        <f t="shared" si="215"/>
        <v>n/a</v>
      </c>
      <c r="D249" s="1" t="str">
        <f>"Enrique Villagran"</f>
        <v>Enrique Villagran</v>
      </c>
      <c r="E249" s="1" t="str">
        <f t="shared" si="207"/>
        <v>31</v>
      </c>
      <c r="F249" s="1" t="str">
        <f t="shared" si="208"/>
        <v>Book</v>
      </c>
      <c r="G249" s="1" t="str">
        <f>"44451"</f>
        <v>44451</v>
      </c>
      <c r="H249" s="1" t="str">
        <f t="shared" si="209"/>
        <v>2021-04-06</v>
      </c>
      <c r="I249" s="1" t="str">
        <f t="shared" si="6"/>
        <v>2</v>
      </c>
      <c r="J249" s="1" t="str">
        <f t="shared" si="7"/>
        <v>Rejected All</v>
      </c>
      <c r="L249" s="1" t="str">
        <f>"44858"</f>
        <v>44858</v>
      </c>
      <c r="M249" s="1" t="str">
        <f>"41"</f>
        <v>41</v>
      </c>
      <c r="N249" s="1" t="str">
        <f>"containing pictorially explicit sexual activity"</f>
        <v>containing pictorially explicit sexual activity</v>
      </c>
    </row>
    <row r="250" ht="14.25" customHeight="1">
      <c r="A250" s="1" t="str">
        <f>"Vogue Essentials Lingerie"</f>
        <v>Vogue Essentials Lingerie</v>
      </c>
      <c r="B250" s="1" t="str">
        <f t="shared" si="214"/>
        <v>0</v>
      </c>
      <c r="C250" s="1" t="str">
        <f t="shared" si="215"/>
        <v>n/a</v>
      </c>
      <c r="D250" s="1" t="str">
        <f>"Anna Cryer"</f>
        <v>Anna Cryer</v>
      </c>
      <c r="E250" s="1" t="str">
        <f t="shared" si="207"/>
        <v>31</v>
      </c>
      <c r="F250" s="1" t="str">
        <f t="shared" si="208"/>
        <v>Book</v>
      </c>
      <c r="G250" s="1" t="str">
        <f>"44452"</f>
        <v>44452</v>
      </c>
      <c r="H250" s="1" t="str">
        <f t="shared" si="209"/>
        <v>2021-04-06</v>
      </c>
      <c r="I250" s="1" t="str">
        <f t="shared" si="6"/>
        <v>2</v>
      </c>
      <c r="J250" s="1" t="str">
        <f t="shared" si="7"/>
        <v>Rejected All</v>
      </c>
      <c r="L250" s="1" t="str">
        <f>"44859"</f>
        <v>44859</v>
      </c>
      <c r="M250" s="1" t="str">
        <f t="shared" ref="M250:M253" si="216">"42"</f>
        <v>42</v>
      </c>
      <c r="N250" s="1" t="str">
        <f t="shared" ref="N250:N253" si="217">"containing pictorially explicit nudity"</f>
        <v>containing pictorially explicit nudity</v>
      </c>
    </row>
    <row r="251" ht="14.25" customHeight="1">
      <c r="A251" s="1" t="str">
        <f>"Anatomy"</f>
        <v>Anatomy</v>
      </c>
      <c r="B251" s="1" t="str">
        <f t="shared" si="214"/>
        <v>0</v>
      </c>
      <c r="C251" s="1" t="str">
        <f t="shared" si="215"/>
        <v>n/a</v>
      </c>
      <c r="D251" s="1" t="str">
        <f>"Malerie Marder"</f>
        <v>Malerie Marder</v>
      </c>
      <c r="E251" s="1" t="str">
        <f t="shared" si="207"/>
        <v>31</v>
      </c>
      <c r="F251" s="1" t="str">
        <f t="shared" si="208"/>
        <v>Book</v>
      </c>
      <c r="G251" s="1" t="str">
        <f>"44454"</f>
        <v>44454</v>
      </c>
      <c r="H251" s="1" t="str">
        <f t="shared" si="209"/>
        <v>2021-04-06</v>
      </c>
      <c r="I251" s="1" t="str">
        <f t="shared" si="6"/>
        <v>2</v>
      </c>
      <c r="J251" s="1" t="str">
        <f t="shared" si="7"/>
        <v>Rejected All</v>
      </c>
      <c r="L251" s="1" t="str">
        <f>"44861"</f>
        <v>44861</v>
      </c>
      <c r="M251" s="1" t="str">
        <f t="shared" si="216"/>
        <v>42</v>
      </c>
      <c r="N251" s="1" t="str">
        <f t="shared" si="217"/>
        <v>containing pictorially explicit nudity</v>
      </c>
    </row>
    <row r="252" ht="14.25" customHeight="1">
      <c r="A252" s="1" t="str">
        <f>"The Tattoo Project"</f>
        <v>The Tattoo Project</v>
      </c>
      <c r="B252" s="1" t="str">
        <f t="shared" si="214"/>
        <v>0</v>
      </c>
      <c r="C252" s="1" t="str">
        <f t="shared" si="215"/>
        <v>n/a</v>
      </c>
      <c r="D252" s="1" t="str">
        <f>"Vince Hemington"</f>
        <v>Vince Hemington</v>
      </c>
      <c r="E252" s="1" t="str">
        <f t="shared" si="207"/>
        <v>31</v>
      </c>
      <c r="F252" s="1" t="str">
        <f t="shared" si="208"/>
        <v>Book</v>
      </c>
      <c r="G252" s="1" t="str">
        <f>"44456"</f>
        <v>44456</v>
      </c>
      <c r="H252" s="1" t="str">
        <f t="shared" si="209"/>
        <v>2021-04-06</v>
      </c>
      <c r="I252" s="1" t="str">
        <f t="shared" si="6"/>
        <v>2</v>
      </c>
      <c r="J252" s="1" t="str">
        <f t="shared" si="7"/>
        <v>Rejected All</v>
      </c>
      <c r="L252" s="1" t="str">
        <f>"44863"</f>
        <v>44863</v>
      </c>
      <c r="M252" s="1" t="str">
        <f t="shared" si="216"/>
        <v>42</v>
      </c>
      <c r="N252" s="1" t="str">
        <f t="shared" si="217"/>
        <v>containing pictorially explicit nudity</v>
      </c>
    </row>
    <row r="253" ht="14.25" customHeight="1">
      <c r="A253" s="1" t="str">
        <f>"Cult of Boys"</f>
        <v>Cult of Boys</v>
      </c>
      <c r="B253" s="1" t="str">
        <f t="shared" si="214"/>
        <v>0</v>
      </c>
      <c r="C253" s="1" t="str">
        <f t="shared" si="215"/>
        <v>n/a</v>
      </c>
      <c r="D253" s="1" t="str">
        <f>"Toyin Ibidapo"</f>
        <v>Toyin Ibidapo</v>
      </c>
      <c r="E253" s="1" t="str">
        <f t="shared" si="207"/>
        <v>31</v>
      </c>
      <c r="F253" s="1" t="str">
        <f t="shared" si="208"/>
        <v>Book</v>
      </c>
      <c r="G253" s="1" t="str">
        <f>"44458"</f>
        <v>44458</v>
      </c>
      <c r="H253" s="1" t="str">
        <f t="shared" si="209"/>
        <v>2021-04-06</v>
      </c>
      <c r="I253" s="1" t="str">
        <f t="shared" si="6"/>
        <v>2</v>
      </c>
      <c r="J253" s="1" t="str">
        <f t="shared" si="7"/>
        <v>Rejected All</v>
      </c>
      <c r="L253" s="1" t="str">
        <f>"44865"</f>
        <v>44865</v>
      </c>
      <c r="M253" s="1" t="str">
        <f t="shared" si="216"/>
        <v>42</v>
      </c>
      <c r="N253" s="1" t="str">
        <f t="shared" si="217"/>
        <v>containing pictorially explicit nudity</v>
      </c>
    </row>
    <row r="254" ht="14.25" customHeight="1">
      <c r="A254" s="1" t="str">
        <f>"Vogue Essentials Lingerie"</f>
        <v>Vogue Essentials Lingerie</v>
      </c>
      <c r="B254" s="1" t="str">
        <f t="shared" si="214"/>
        <v>0</v>
      </c>
      <c r="C254" s="1" t="str">
        <f t="shared" si="215"/>
        <v>n/a</v>
      </c>
      <c r="D254" s="1" t="str">
        <f>"Anne Cryer"</f>
        <v>Anne Cryer</v>
      </c>
      <c r="E254" s="1" t="str">
        <f t="shared" si="207"/>
        <v>31</v>
      </c>
      <c r="F254" s="1" t="str">
        <f t="shared" si="208"/>
        <v>Book</v>
      </c>
      <c r="G254" s="1" t="str">
        <f>"44648"</f>
        <v>44648</v>
      </c>
      <c r="H254" s="1" t="str">
        <f t="shared" si="209"/>
        <v>2021-04-06</v>
      </c>
      <c r="I254" s="1" t="str">
        <f t="shared" si="6"/>
        <v>2</v>
      </c>
      <c r="J254" s="1" t="str">
        <f t="shared" si="7"/>
        <v>Rejected All</v>
      </c>
      <c r="L254" s="1" t="str">
        <f>"45057"</f>
        <v>45057</v>
      </c>
      <c r="M254" s="1" t="str">
        <f>"41"</f>
        <v>41</v>
      </c>
      <c r="N254" s="1" t="str">
        <f>"containing pictorially explicit sexual activity"</f>
        <v>containing pictorially explicit sexual activity</v>
      </c>
    </row>
    <row r="255" ht="14.25" customHeight="1">
      <c r="A255" s="1" t="s">
        <v>12</v>
      </c>
      <c r="B255" s="1" t="str">
        <f>"9658"</f>
        <v>9658</v>
      </c>
      <c r="C255" s="1" t="str">
        <f>"Part II"</f>
        <v>Part II</v>
      </c>
      <c r="D255" s="1" t="str">
        <f t="shared" ref="D255:D258" si="218">"Jennifer Nite"</f>
        <v>Jennifer Nite</v>
      </c>
      <c r="E255" s="1" t="str">
        <f t="shared" si="207"/>
        <v>31</v>
      </c>
      <c r="F255" s="1" t="str">
        <f t="shared" si="208"/>
        <v>Book</v>
      </c>
      <c r="G255" s="1" t="str">
        <f>"44449"</f>
        <v>44449</v>
      </c>
      <c r="H255" s="1" t="str">
        <f t="shared" si="209"/>
        <v>2021-04-06</v>
      </c>
      <c r="I255" s="1" t="str">
        <f t="shared" si="6"/>
        <v>2</v>
      </c>
      <c r="J255" s="1" t="str">
        <f t="shared" si="7"/>
        <v>Rejected All</v>
      </c>
      <c r="L255" s="1" t="str">
        <f>"44856"</f>
        <v>44856</v>
      </c>
      <c r="M255" s="1" t="str">
        <f t="shared" ref="M255:M258" si="219">"43"</f>
        <v>43</v>
      </c>
      <c r="N255" s="1" t="str">
        <f t="shared" ref="N255:N258" si="220">"containing written sexually explicit / sado-masochistic behavior"</f>
        <v>containing written sexually explicit / sado-masochistic behavior</v>
      </c>
    </row>
    <row r="256" ht="14.25" customHeight="1">
      <c r="A256" s="1" t="str">
        <f>"A Ruined Wife "</f>
        <v>A Ruined Wife </v>
      </c>
      <c r="B256" s="1" t="str">
        <f>"9651"</f>
        <v>9651</v>
      </c>
      <c r="C256" s="1" t="str">
        <f>"Part II Seduced Tramp"</f>
        <v>Part II Seduced Tramp</v>
      </c>
      <c r="D256" s="1" t="str">
        <f t="shared" si="218"/>
        <v>Jennifer Nite</v>
      </c>
      <c r="E256" s="1" t="str">
        <f t="shared" si="207"/>
        <v>31</v>
      </c>
      <c r="F256" s="1" t="str">
        <f t="shared" si="208"/>
        <v>Book</v>
      </c>
      <c r="G256" s="1" t="str">
        <f>"44437"</f>
        <v>44437</v>
      </c>
      <c r="H256" s="1" t="str">
        <f t="shared" si="209"/>
        <v>2021-04-06</v>
      </c>
      <c r="I256" s="1" t="str">
        <f t="shared" si="6"/>
        <v>2</v>
      </c>
      <c r="J256" s="1" t="str">
        <f t="shared" si="7"/>
        <v>Rejected All</v>
      </c>
      <c r="L256" s="1" t="str">
        <f>"44846"</f>
        <v>44846</v>
      </c>
      <c r="M256" s="1" t="str">
        <f t="shared" si="219"/>
        <v>43</v>
      </c>
      <c r="N256" s="1" t="str">
        <f t="shared" si="220"/>
        <v>containing written sexually explicit / sado-masochistic behavior</v>
      </c>
    </row>
    <row r="257" ht="14.25" customHeight="1">
      <c r="A257" s="1" t="s">
        <v>12</v>
      </c>
      <c r="B257" s="1" t="str">
        <f>"9659"</f>
        <v>9659</v>
      </c>
      <c r="C257" s="1" t="str">
        <f>"Part III"</f>
        <v>Part III</v>
      </c>
      <c r="D257" s="1" t="str">
        <f t="shared" si="218"/>
        <v>Jennifer Nite</v>
      </c>
      <c r="E257" s="1" t="str">
        <f t="shared" si="207"/>
        <v>31</v>
      </c>
      <c r="F257" s="1" t="str">
        <f t="shared" si="208"/>
        <v>Book</v>
      </c>
      <c r="G257" s="1" t="str">
        <f>"44450"</f>
        <v>44450</v>
      </c>
      <c r="H257" s="1" t="str">
        <f t="shared" si="209"/>
        <v>2021-04-06</v>
      </c>
      <c r="I257" s="1" t="str">
        <f t="shared" si="6"/>
        <v>2</v>
      </c>
      <c r="J257" s="1" t="str">
        <f t="shared" si="7"/>
        <v>Rejected All</v>
      </c>
      <c r="L257" s="1" t="str">
        <f>"44857"</f>
        <v>44857</v>
      </c>
      <c r="M257" s="1" t="str">
        <f t="shared" si="219"/>
        <v>43</v>
      </c>
      <c r="N257" s="1" t="str">
        <f t="shared" si="220"/>
        <v>containing written sexually explicit / sado-masochistic behavior</v>
      </c>
    </row>
    <row r="258" ht="14.25" customHeight="1">
      <c r="A258" s="1" t="str">
        <f>"A Ruined Wife"</f>
        <v>A Ruined Wife</v>
      </c>
      <c r="B258" s="1" t="str">
        <f>"9652"</f>
        <v>9652</v>
      </c>
      <c r="C258" s="1" t="str">
        <f>"Part III Husband&amp;#39;s Tramp"</f>
        <v>Part III Husband&amp;#39;s Tramp</v>
      </c>
      <c r="D258" s="1" t="str">
        <f t="shared" si="218"/>
        <v>Jennifer Nite</v>
      </c>
      <c r="E258" s="1" t="str">
        <f t="shared" si="207"/>
        <v>31</v>
      </c>
      <c r="F258" s="1" t="str">
        <f t="shared" si="208"/>
        <v>Book</v>
      </c>
      <c r="G258" s="1" t="str">
        <f>"44438"</f>
        <v>44438</v>
      </c>
      <c r="H258" s="1" t="str">
        <f t="shared" si="209"/>
        <v>2021-04-06</v>
      </c>
      <c r="I258" s="1" t="str">
        <f t="shared" si="6"/>
        <v>2</v>
      </c>
      <c r="J258" s="1" t="str">
        <f t="shared" si="7"/>
        <v>Rejected All</v>
      </c>
      <c r="L258" s="1" t="str">
        <f>"44847"</f>
        <v>44847</v>
      </c>
      <c r="M258" s="1" t="str">
        <f t="shared" si="219"/>
        <v>43</v>
      </c>
      <c r="N258" s="1" t="str">
        <f t="shared" si="220"/>
        <v>containing written sexually explicit / sado-masochistic behavior</v>
      </c>
    </row>
    <row r="259" ht="14.25" customHeight="1">
      <c r="A259" s="1" t="str">
        <f>"Big Black Book of Secrets"</f>
        <v>Big Black Book of Secrets</v>
      </c>
      <c r="B259" s="1" t="str">
        <f>"9774"</f>
        <v>9774</v>
      </c>
      <c r="C259" s="1" t="str">
        <f>"The Guy Guide to Male Wisdom"</f>
        <v>The Guy Guide to Male Wisdom</v>
      </c>
      <c r="D259" s="1" t="str">
        <f>"Men&amp;#39;s Health"</f>
        <v>Men&amp;#39;s Health</v>
      </c>
      <c r="E259" s="1" t="str">
        <f t="shared" si="207"/>
        <v>31</v>
      </c>
      <c r="F259" s="1" t="str">
        <f t="shared" si="208"/>
        <v>Book</v>
      </c>
      <c r="G259" s="1" t="str">
        <f>"44637"</f>
        <v>44637</v>
      </c>
      <c r="H259" s="1" t="str">
        <f t="shared" si="209"/>
        <v>2021-04-06</v>
      </c>
      <c r="I259" s="1" t="str">
        <f t="shared" si="6"/>
        <v>2</v>
      </c>
      <c r="J259" s="1" t="str">
        <f t="shared" si="7"/>
        <v>Rejected All</v>
      </c>
      <c r="L259" s="1" t="str">
        <f>"45046"</f>
        <v>45046</v>
      </c>
      <c r="M259" s="1" t="str">
        <f t="shared" ref="M259:M260" si="221">"42"</f>
        <v>42</v>
      </c>
      <c r="N259" s="1" t="str">
        <f t="shared" ref="N259:N260" si="222">"containing pictorially explicit nudity"</f>
        <v>containing pictorially explicit nudity</v>
      </c>
    </row>
    <row r="260" ht="14.25" customHeight="1">
      <c r="A260" s="1" t="str">
        <f>"Shomin Sample"</f>
        <v>Shomin Sample</v>
      </c>
      <c r="B260" s="1" t="str">
        <f>"8505"</f>
        <v>8505</v>
      </c>
      <c r="C260" s="1" t="str">
        <f>"Vol. 14"</f>
        <v>Vol. 14</v>
      </c>
      <c r="D260" s="1" t="s">
        <v>1</v>
      </c>
      <c r="E260" s="1" t="str">
        <f t="shared" si="207"/>
        <v>31</v>
      </c>
      <c r="F260" s="1" t="str">
        <f t="shared" si="208"/>
        <v>Book</v>
      </c>
      <c r="G260" s="1" t="str">
        <f>"44507"</f>
        <v>44507</v>
      </c>
      <c r="H260" s="1" t="str">
        <f t="shared" si="209"/>
        <v>2021-04-06</v>
      </c>
      <c r="I260" s="1" t="str">
        <f t="shared" si="6"/>
        <v>2</v>
      </c>
      <c r="J260" s="1" t="str">
        <f t="shared" si="7"/>
        <v>Rejected All</v>
      </c>
      <c r="L260" s="1" t="str">
        <f>"44914"</f>
        <v>44914</v>
      </c>
      <c r="M260" s="1" t="str">
        <f t="shared" si="221"/>
        <v>42</v>
      </c>
      <c r="N260" s="1" t="str">
        <f t="shared" si="222"/>
        <v>containing pictorially explicit nudity</v>
      </c>
    </row>
    <row r="261" ht="14.25" customHeight="1">
      <c r="A261" s="1" t="str">
        <f>"Penthouse Letters + Variations"</f>
        <v>Penthouse Letters + Variations</v>
      </c>
      <c r="B261" s="1" t="str">
        <f>"9679"</f>
        <v>9679</v>
      </c>
      <c r="C261" s="1" t="str">
        <f>"The 21 Annual Wife-Watching Issue Dec 2020/Jan. 2021"</f>
        <v>The 21 Annual Wife-Watching Issue Dec 2020/Jan. 2021</v>
      </c>
      <c r="E261" s="1" t="str">
        <f t="shared" ref="E261:E263" si="223">"32"</f>
        <v>32</v>
      </c>
      <c r="F261" s="1" t="str">
        <f t="shared" ref="F261:F263" si="224">"Magazine/Newspaper"</f>
        <v>Magazine/Newspaper</v>
      </c>
      <c r="G261" s="1" t="str">
        <f>"44490"</f>
        <v>44490</v>
      </c>
      <c r="H261" s="1" t="str">
        <f t="shared" si="209"/>
        <v>2021-04-06</v>
      </c>
      <c r="I261" s="1" t="str">
        <f t="shared" si="6"/>
        <v>2</v>
      </c>
      <c r="J261" s="1" t="str">
        <f t="shared" si="7"/>
        <v>Rejected All</v>
      </c>
      <c r="L261" s="1" t="str">
        <f>"44897"</f>
        <v>44897</v>
      </c>
      <c r="M261" s="1" t="str">
        <f>"41"</f>
        <v>41</v>
      </c>
      <c r="N261" s="1" t="str">
        <f>"containing pictorially explicit sexual activity"</f>
        <v>containing pictorially explicit sexual activity</v>
      </c>
    </row>
    <row r="262" ht="14.25" customHeight="1">
      <c r="A262" s="1" t="str">
        <f>"Survival Guide"</f>
        <v>Survival Guide</v>
      </c>
      <c r="B262" s="1" t="str">
        <f>"9788"</f>
        <v>9788</v>
      </c>
      <c r="C262" s="1" t="str">
        <f>"Volume 10 - Issue 4"</f>
        <v>Volume 10 - Issue 4</v>
      </c>
      <c r="E262" s="1" t="str">
        <f t="shared" si="223"/>
        <v>32</v>
      </c>
      <c r="F262" s="1" t="str">
        <f t="shared" si="224"/>
        <v>Magazine/Newspaper</v>
      </c>
      <c r="G262" s="1" t="str">
        <f>"44666"</f>
        <v>44666</v>
      </c>
      <c r="H262" s="1" t="str">
        <f t="shared" si="209"/>
        <v>2021-04-06</v>
      </c>
      <c r="I262" s="1" t="str">
        <f t="shared" si="6"/>
        <v>2</v>
      </c>
      <c r="J262" s="1" t="str">
        <f t="shared" si="7"/>
        <v>Rejected All</v>
      </c>
      <c r="L262" s="1" t="str">
        <f>"45075"</f>
        <v>45075</v>
      </c>
      <c r="M262" s="1" t="str">
        <f>"39"</f>
        <v>39</v>
      </c>
      <c r="N262" s="1" t="str">
        <f>"being detrimental to security for the following reason:"</f>
        <v>being detrimental to security for the following reason:</v>
      </c>
    </row>
    <row r="263" ht="14.25" customHeight="1">
      <c r="A263" s="1" t="str">
        <f>"Penthouse Letters + Variations"</f>
        <v>Penthouse Letters + Variations</v>
      </c>
      <c r="B263" s="1" t="str">
        <f>"9678"</f>
        <v>9678</v>
      </c>
      <c r="C263" s="1" t="str">
        <f>"Wild Threeways &amp;amp; Red Hot Mills + Double Domination Feb 2021/Mar 2021"</f>
        <v>Wild Threeways &amp;amp; Red Hot Mills + Double Domination Feb 2021/Mar 2021</v>
      </c>
      <c r="E263" s="1" t="str">
        <f t="shared" si="223"/>
        <v>32</v>
      </c>
      <c r="F263" s="1" t="str">
        <f t="shared" si="224"/>
        <v>Magazine/Newspaper</v>
      </c>
      <c r="G263" s="1" t="str">
        <f>"44484"</f>
        <v>44484</v>
      </c>
      <c r="H263" s="1" t="str">
        <f t="shared" si="209"/>
        <v>2021-04-06</v>
      </c>
      <c r="I263" s="1" t="str">
        <f t="shared" si="6"/>
        <v>2</v>
      </c>
      <c r="J263" s="1" t="str">
        <f t="shared" si="7"/>
        <v>Rejected All</v>
      </c>
      <c r="L263" s="1" t="str">
        <f>"44891"</f>
        <v>44891</v>
      </c>
      <c r="M263" s="1" t="str">
        <f>"41"</f>
        <v>41</v>
      </c>
      <c r="N263" s="1" t="str">
        <f>"containing pictorially explicit sexual activity"</f>
        <v>containing pictorially explicit sexual activity</v>
      </c>
    </row>
    <row r="264" ht="14.25" customHeight="1">
      <c r="A264" s="1" t="str">
        <f>"ATM Magazine Pawgs"</f>
        <v>ATM Magazine Pawgs</v>
      </c>
      <c r="B264" s="1" t="str">
        <f>"9812"</f>
        <v>9812</v>
      </c>
      <c r="C264" s="1" t="str">
        <f>"Alexis Texas - Volume 1 Issue 1"</f>
        <v>Alexis Texas - Volume 1 Issue 1</v>
      </c>
      <c r="D264" s="1" t="str">
        <f>"BBO Magazine.BBOMAG.com"</f>
        <v>BBO Magazine.BBOMAG.com</v>
      </c>
      <c r="E264" s="1" t="str">
        <f t="shared" ref="E264:E269" si="225">"31"</f>
        <v>31</v>
      </c>
      <c r="F264" s="1" t="str">
        <f t="shared" ref="F264:F269" si="226">"Book"</f>
        <v>Book</v>
      </c>
      <c r="G264" s="1" t="str">
        <f>"44703"</f>
        <v>44703</v>
      </c>
      <c r="H264" s="1" t="str">
        <f t="shared" ref="H264:H273" si="227">"2021-04-20"</f>
        <v>2021-04-20</v>
      </c>
      <c r="I264" s="1" t="str">
        <f t="shared" si="6"/>
        <v>2</v>
      </c>
      <c r="J264" s="1" t="str">
        <f t="shared" si="7"/>
        <v>Rejected All</v>
      </c>
      <c r="L264" s="1" t="str">
        <f>"45115"</f>
        <v>45115</v>
      </c>
      <c r="M264" s="1" t="str">
        <f t="shared" ref="M264:M271" si="228">"42"</f>
        <v>42</v>
      </c>
      <c r="N264" s="1" t="str">
        <f t="shared" ref="N264:N271" si="229">"containing pictorially explicit nudity"</f>
        <v>containing pictorially explicit nudity</v>
      </c>
    </row>
    <row r="265" ht="14.25" customHeight="1">
      <c r="A265" s="1" t="str">
        <f>"Spectrum 26"</f>
        <v>Spectrum 26</v>
      </c>
      <c r="B265" s="1" t="str">
        <f>"9880"</f>
        <v>9880</v>
      </c>
      <c r="C265" s="1" t="str">
        <f>"he Best in Contemporary Fantastic Art"</f>
        <v>he Best in Contemporary Fantastic Art</v>
      </c>
      <c r="D265" s="1" t="str">
        <f>"John Fleskes"</f>
        <v>John Fleskes</v>
      </c>
      <c r="E265" s="1" t="str">
        <f t="shared" si="225"/>
        <v>31</v>
      </c>
      <c r="F265" s="1" t="str">
        <f t="shared" si="226"/>
        <v>Book</v>
      </c>
      <c r="G265" s="1" t="str">
        <f>"44798"</f>
        <v>44798</v>
      </c>
      <c r="H265" s="1" t="str">
        <f t="shared" si="227"/>
        <v>2021-04-20</v>
      </c>
      <c r="I265" s="1" t="str">
        <f t="shared" si="6"/>
        <v>2</v>
      </c>
      <c r="J265" s="1" t="str">
        <f t="shared" si="7"/>
        <v>Rejected All</v>
      </c>
      <c r="L265" s="1" t="str">
        <f>"45208"</f>
        <v>45208</v>
      </c>
      <c r="M265" s="1" t="str">
        <f t="shared" si="228"/>
        <v>42</v>
      </c>
      <c r="N265" s="1" t="str">
        <f t="shared" si="229"/>
        <v>containing pictorially explicit nudity</v>
      </c>
    </row>
    <row r="266" ht="14.25" customHeight="1">
      <c r="A266" s="1" t="str">
        <f>"Street Walkers"</f>
        <v>Street Walkers</v>
      </c>
      <c r="B266" s="1" t="str">
        <f t="shared" ref="B266:B267" si="230">"0"</f>
        <v>0</v>
      </c>
      <c r="C266" s="1" t="str">
        <f t="shared" ref="C266:C267" si="231">"n/a"</f>
        <v>n/a</v>
      </c>
      <c r="D266" s="1" t="str">
        <f>"Scot Sothern"</f>
        <v>Scot Sothern</v>
      </c>
      <c r="E266" s="1" t="str">
        <f t="shared" si="225"/>
        <v>31</v>
      </c>
      <c r="F266" s="1" t="str">
        <f t="shared" si="226"/>
        <v>Book</v>
      </c>
      <c r="G266" s="1" t="str">
        <f>"44674"</f>
        <v>44674</v>
      </c>
      <c r="H266" s="1" t="str">
        <f t="shared" si="227"/>
        <v>2021-04-20</v>
      </c>
      <c r="I266" s="1" t="str">
        <f t="shared" si="6"/>
        <v>2</v>
      </c>
      <c r="J266" s="1" t="str">
        <f t="shared" si="7"/>
        <v>Rejected All</v>
      </c>
      <c r="L266" s="1" t="str">
        <f>"45086"</f>
        <v>45086</v>
      </c>
      <c r="M266" s="1" t="str">
        <f t="shared" si="228"/>
        <v>42</v>
      </c>
      <c r="N266" s="1" t="str">
        <f t="shared" si="229"/>
        <v>containing pictorially explicit nudity</v>
      </c>
    </row>
    <row r="267" ht="14.25" customHeight="1">
      <c r="A267" s="1" t="str">
        <f>"Women&amp;#39;s Anatomy of Arousal"</f>
        <v>Women&amp;#39;s Anatomy of Arousal</v>
      </c>
      <c r="B267" s="1" t="str">
        <f t="shared" si="230"/>
        <v>0</v>
      </c>
      <c r="C267" s="1" t="str">
        <f t="shared" si="231"/>
        <v>n/a</v>
      </c>
      <c r="D267" s="1" t="str">
        <f>"Sheri Winston"</f>
        <v>Sheri Winston</v>
      </c>
      <c r="E267" s="1" t="str">
        <f t="shared" si="225"/>
        <v>31</v>
      </c>
      <c r="F267" s="1" t="str">
        <f t="shared" si="226"/>
        <v>Book</v>
      </c>
      <c r="G267" s="1" t="str">
        <f>"44833"</f>
        <v>44833</v>
      </c>
      <c r="H267" s="1" t="str">
        <f t="shared" si="227"/>
        <v>2021-04-20</v>
      </c>
      <c r="I267" s="1" t="str">
        <f t="shared" si="6"/>
        <v>2</v>
      </c>
      <c r="J267" s="1" t="str">
        <f t="shared" si="7"/>
        <v>Rejected All</v>
      </c>
      <c r="L267" s="1" t="str">
        <f>"45244"</f>
        <v>45244</v>
      </c>
      <c r="M267" s="1" t="str">
        <f t="shared" si="228"/>
        <v>42</v>
      </c>
      <c r="N267" s="1" t="str">
        <f t="shared" si="229"/>
        <v>containing pictorially explicit nudity</v>
      </c>
    </row>
    <row r="268" ht="14.25" customHeight="1">
      <c r="A268" s="1" t="str">
        <f>"Steampunk Rising"</f>
        <v>Steampunk Rising</v>
      </c>
      <c r="B268" s="1" t="str">
        <f>"9886"</f>
        <v>9886</v>
      </c>
      <c r="C268" s="1" t="str">
        <f>"The Art of Sandra Chang-Adair"</f>
        <v>The Art of Sandra Chang-Adair</v>
      </c>
      <c r="D268" s="1" t="str">
        <f>"Sandra Chang -Adair"</f>
        <v>Sandra Chang -Adair</v>
      </c>
      <c r="E268" s="1" t="str">
        <f t="shared" si="225"/>
        <v>31</v>
      </c>
      <c r="F268" s="1" t="str">
        <f t="shared" si="226"/>
        <v>Book</v>
      </c>
      <c r="G268" s="1" t="str">
        <f>"44804"</f>
        <v>44804</v>
      </c>
      <c r="H268" s="1" t="str">
        <f t="shared" si="227"/>
        <v>2021-04-20</v>
      </c>
      <c r="I268" s="1" t="str">
        <f t="shared" si="6"/>
        <v>2</v>
      </c>
      <c r="J268" s="1" t="str">
        <f t="shared" si="7"/>
        <v>Rejected All</v>
      </c>
      <c r="L268" s="1" t="str">
        <f>"45214"</f>
        <v>45214</v>
      </c>
      <c r="M268" s="1" t="str">
        <f t="shared" si="228"/>
        <v>42</v>
      </c>
      <c r="N268" s="1" t="str">
        <f t="shared" si="229"/>
        <v>containing pictorially explicit nudity</v>
      </c>
    </row>
    <row r="269" ht="14.25" customHeight="1">
      <c r="A269" s="1" t="str">
        <f>"Spectrum 23"</f>
        <v>Spectrum 23</v>
      </c>
      <c r="B269" s="1" t="str">
        <f>"9879"</f>
        <v>9879</v>
      </c>
      <c r="C269" s="1" t="str">
        <f>"The Best in Contemporary Fantastic Art"</f>
        <v>The Best in Contemporary Fantastic Art</v>
      </c>
      <c r="D269" s="1" t="str">
        <f>"John Fleskes"</f>
        <v>John Fleskes</v>
      </c>
      <c r="E269" s="1" t="str">
        <f t="shared" si="225"/>
        <v>31</v>
      </c>
      <c r="F269" s="1" t="str">
        <f t="shared" si="226"/>
        <v>Book</v>
      </c>
      <c r="G269" s="1" t="str">
        <f>"44797"</f>
        <v>44797</v>
      </c>
      <c r="H269" s="1" t="str">
        <f t="shared" si="227"/>
        <v>2021-04-20</v>
      </c>
      <c r="I269" s="1" t="str">
        <f t="shared" si="6"/>
        <v>2</v>
      </c>
      <c r="J269" s="1" t="str">
        <f t="shared" si="7"/>
        <v>Rejected All</v>
      </c>
      <c r="L269" s="1" t="str">
        <f>"45207"</f>
        <v>45207</v>
      </c>
      <c r="M269" s="1" t="str">
        <f t="shared" si="228"/>
        <v>42</v>
      </c>
      <c r="N269" s="1" t="str">
        <f t="shared" si="229"/>
        <v>containing pictorially explicit nudity</v>
      </c>
    </row>
    <row r="270" ht="14.25" customHeight="1">
      <c r="A270" s="1" t="str">
        <f>"Goat Foreplay Gold"</f>
        <v>Goat Foreplay Gold</v>
      </c>
      <c r="B270" s="1" t="str">
        <f>"9792"</f>
        <v>9792</v>
      </c>
      <c r="C270" s="1" t="str">
        <f>"Special Edition Only Fans"</f>
        <v>Special Edition Only Fans</v>
      </c>
      <c r="E270" s="1" t="str">
        <f t="shared" ref="E270:E273" si="232">"32"</f>
        <v>32</v>
      </c>
      <c r="F270" s="1" t="str">
        <f t="shared" ref="F270:F273" si="233">"Magazine/Newspaper"</f>
        <v>Magazine/Newspaper</v>
      </c>
      <c r="G270" s="1" t="str">
        <f>"44677"</f>
        <v>44677</v>
      </c>
      <c r="H270" s="1" t="str">
        <f t="shared" si="227"/>
        <v>2021-04-20</v>
      </c>
      <c r="I270" s="1" t="str">
        <f t="shared" si="6"/>
        <v>2</v>
      </c>
      <c r="J270" s="1" t="str">
        <f t="shared" si="7"/>
        <v>Rejected All</v>
      </c>
      <c r="L270" s="1" t="str">
        <f>"45089"</f>
        <v>45089</v>
      </c>
      <c r="M270" s="1" t="str">
        <f t="shared" si="228"/>
        <v>42</v>
      </c>
      <c r="N270" s="1" t="str">
        <f t="shared" si="229"/>
        <v>containing pictorially explicit nudity</v>
      </c>
    </row>
    <row r="271" ht="14.25" customHeight="1">
      <c r="A271" s="1" t="str">
        <f>"Goat Foreply Gold"</f>
        <v>Goat Foreply Gold</v>
      </c>
      <c r="B271" s="1" t="str">
        <f>"9791"</f>
        <v>9791</v>
      </c>
      <c r="C271" s="1" t="str">
        <f>"Special Edition OnlyFans"</f>
        <v>Special Edition OnlyFans</v>
      </c>
      <c r="E271" s="1" t="str">
        <f t="shared" si="232"/>
        <v>32</v>
      </c>
      <c r="F271" s="1" t="str">
        <f t="shared" si="233"/>
        <v>Magazine/Newspaper</v>
      </c>
      <c r="G271" s="1" t="str">
        <f>"44675"</f>
        <v>44675</v>
      </c>
      <c r="H271" s="1" t="str">
        <f t="shared" si="227"/>
        <v>2021-04-20</v>
      </c>
      <c r="I271" s="1" t="str">
        <f t="shared" si="6"/>
        <v>2</v>
      </c>
      <c r="J271" s="1" t="str">
        <f t="shared" si="7"/>
        <v>Rejected All</v>
      </c>
      <c r="L271" s="1" t="str">
        <f>"45087"</f>
        <v>45087</v>
      </c>
      <c r="M271" s="1" t="str">
        <f t="shared" si="228"/>
        <v>42</v>
      </c>
      <c r="N271" s="1" t="str">
        <f t="shared" si="229"/>
        <v>containing pictorially explicit nudity</v>
      </c>
    </row>
    <row r="272" ht="14.25" customHeight="1">
      <c r="A272" s="1" t="str">
        <f>"Latina Spice"</f>
        <v>Latina Spice</v>
      </c>
      <c r="B272" s="1" t="str">
        <f>"9798"</f>
        <v>9798</v>
      </c>
      <c r="C272" s="1" t="str">
        <f>"Vol. 1 Premiere Issue"</f>
        <v>Vol. 1 Premiere Issue</v>
      </c>
      <c r="E272" s="1" t="str">
        <f t="shared" si="232"/>
        <v>32</v>
      </c>
      <c r="F272" s="1" t="str">
        <f t="shared" si="233"/>
        <v>Magazine/Newspaper</v>
      </c>
      <c r="G272" s="1" t="str">
        <f>"43986"</f>
        <v>43986</v>
      </c>
      <c r="H272" s="1" t="str">
        <f t="shared" si="227"/>
        <v>2021-04-20</v>
      </c>
      <c r="I272" s="1" t="str">
        <f t="shared" si="6"/>
        <v>2</v>
      </c>
      <c r="J272" s="1" t="str">
        <f t="shared" si="7"/>
        <v>Rejected All</v>
      </c>
      <c r="L272" s="1" t="str">
        <f>"45085"</f>
        <v>45085</v>
      </c>
    </row>
    <row r="273" ht="14.25" customHeight="1">
      <c r="A273" s="1" t="str">
        <f>"Goat Foreplay Gold"</f>
        <v>Goat Foreplay Gold</v>
      </c>
      <c r="B273" s="1" t="str">
        <f>"4511"</f>
        <v>4511</v>
      </c>
      <c r="C273" s="1" t="str">
        <f>"Volume 3"</f>
        <v>Volume 3</v>
      </c>
      <c r="E273" s="1" t="str">
        <f t="shared" si="232"/>
        <v>32</v>
      </c>
      <c r="F273" s="1" t="str">
        <f t="shared" si="233"/>
        <v>Magazine/Newspaper</v>
      </c>
      <c r="G273" s="1" t="str">
        <f>"44678"</f>
        <v>44678</v>
      </c>
      <c r="H273" s="1" t="str">
        <f t="shared" si="227"/>
        <v>2021-04-20</v>
      </c>
      <c r="I273" s="1" t="str">
        <f t="shared" si="6"/>
        <v>2</v>
      </c>
      <c r="J273" s="1" t="str">
        <f t="shared" si="7"/>
        <v>Rejected All</v>
      </c>
      <c r="L273" s="1" t="str">
        <f>"45090"</f>
        <v>45090</v>
      </c>
      <c r="M273" s="1" t="str">
        <f>"42"</f>
        <v>42</v>
      </c>
      <c r="N273" s="1" t="str">
        <f>"containing pictorially explicit nudity"</f>
        <v>containing pictorially explicit nudity</v>
      </c>
    </row>
    <row r="274" ht="14.25" customHeight="1">
      <c r="A274" s="1" t="str">
        <f>"The Hunter&amp;#39; s Guide to Accurate Shooting: How to Hit What You&amp;#39;re Aiming At in Any Situation"</f>
        <v>The Hunter&amp;#39; s Guide to Accurate Shooting: How to Hit What You&amp;#39;re Aiming At in Any Situation</v>
      </c>
      <c r="B274" s="1" t="str">
        <f t="shared" ref="B274:B276" si="234">"0"</f>
        <v>0</v>
      </c>
      <c r="C274" s="1" t="str">
        <f t="shared" ref="C274:C276" si="235">"n/a"</f>
        <v>n/a</v>
      </c>
      <c r="D274" s="1" t="str">
        <f>"Wayne Van Zwoll"</f>
        <v>Wayne Van Zwoll</v>
      </c>
      <c r="E274" s="1" t="str">
        <f t="shared" ref="E274:E302" si="236">"31"</f>
        <v>31</v>
      </c>
      <c r="F274" s="1" t="str">
        <f t="shared" ref="F274:F302" si="237">"Book"</f>
        <v>Book</v>
      </c>
      <c r="G274" s="1" t="str">
        <f>"44863"</f>
        <v>44863</v>
      </c>
      <c r="H274" s="1" t="str">
        <f t="shared" ref="H274:H277" si="238">"2021-05-04"</f>
        <v>2021-05-04</v>
      </c>
      <c r="I274" s="1" t="str">
        <f t="shared" si="6"/>
        <v>2</v>
      </c>
      <c r="J274" s="1" t="str">
        <f t="shared" si="7"/>
        <v>Rejected All</v>
      </c>
      <c r="L274" s="1" t="str">
        <f>"45276"</f>
        <v>45276</v>
      </c>
      <c r="M274" s="1" t="str">
        <f>"5"</f>
        <v>5</v>
      </c>
      <c r="N274" s="1" t="str">
        <f>"containing weapon construction procedures"</f>
        <v>containing weapon construction procedures</v>
      </c>
    </row>
    <row r="275" ht="14.25" customHeight="1">
      <c r="A275" s="1" t="str">
        <f>"Beltina Rhelms Gender Studies"</f>
        <v>Beltina Rhelms Gender Studies</v>
      </c>
      <c r="B275" s="1" t="str">
        <f t="shared" si="234"/>
        <v>0</v>
      </c>
      <c r="C275" s="1" t="str">
        <f t="shared" si="235"/>
        <v>n/a</v>
      </c>
      <c r="D275" s="1" t="str">
        <f>"Steidl"</f>
        <v>Steidl</v>
      </c>
      <c r="E275" s="1" t="str">
        <f t="shared" si="236"/>
        <v>31</v>
      </c>
      <c r="F275" s="1" t="str">
        <f t="shared" si="237"/>
        <v>Book</v>
      </c>
      <c r="G275" s="1" t="str">
        <f>"44874"</f>
        <v>44874</v>
      </c>
      <c r="H275" s="1" t="str">
        <f t="shared" si="238"/>
        <v>2021-05-04</v>
      </c>
      <c r="I275" s="1" t="str">
        <f t="shared" si="6"/>
        <v>2</v>
      </c>
      <c r="J275" s="1" t="str">
        <f t="shared" si="7"/>
        <v>Rejected All</v>
      </c>
      <c r="L275" s="1" t="str">
        <f>"45287"</f>
        <v>45287</v>
      </c>
      <c r="M275" s="1" t="str">
        <f>"42"</f>
        <v>42</v>
      </c>
      <c r="N275" s="1" t="str">
        <f>"containing pictorially explicit nudity"</f>
        <v>containing pictorially explicit nudity</v>
      </c>
    </row>
    <row r="276" ht="14.25" customHeight="1">
      <c r="A276" s="1" t="s">
        <v>13</v>
      </c>
      <c r="B276" s="1" t="str">
        <f t="shared" si="234"/>
        <v>0</v>
      </c>
      <c r="C276" s="1" t="str">
        <f t="shared" si="235"/>
        <v>n/a</v>
      </c>
      <c r="D276" s="1" t="str">
        <f>"Robert Sadowski"</f>
        <v>Robert Sadowski</v>
      </c>
      <c r="E276" s="1" t="str">
        <f t="shared" si="236"/>
        <v>31</v>
      </c>
      <c r="F276" s="1" t="str">
        <f t="shared" si="237"/>
        <v>Book</v>
      </c>
      <c r="G276" s="1" t="str">
        <f>"44875"</f>
        <v>44875</v>
      </c>
      <c r="H276" s="1" t="str">
        <f t="shared" si="238"/>
        <v>2021-05-04</v>
      </c>
      <c r="I276" s="1" t="str">
        <f t="shared" si="6"/>
        <v>2</v>
      </c>
      <c r="J276" s="1" t="str">
        <f t="shared" si="7"/>
        <v>Rejected All</v>
      </c>
      <c r="L276" s="1" t="str">
        <f>"45288"</f>
        <v>45288</v>
      </c>
      <c r="M276" s="1" t="str">
        <f>"5"</f>
        <v>5</v>
      </c>
      <c r="N276" s="1" t="str">
        <f>"containing weapon construction procedures"</f>
        <v>containing weapon construction procedures</v>
      </c>
    </row>
    <row r="277" ht="14.25" customHeight="1">
      <c r="A277" s="1" t="str">
        <f>"Letters to Penthouse Dirty Girls and Sex Toys"</f>
        <v>Letters to Penthouse Dirty Girls and Sex Toys</v>
      </c>
      <c r="B277" s="1" t="str">
        <f>"9916"</f>
        <v>9916</v>
      </c>
      <c r="C277" s="1" t="str">
        <f>"Vol. 52"</f>
        <v>Vol. 52</v>
      </c>
      <c r="D277" s="1" t="str">
        <f>"Editors of Penthouse"</f>
        <v>Editors of Penthouse</v>
      </c>
      <c r="E277" s="1" t="str">
        <f t="shared" si="236"/>
        <v>31</v>
      </c>
      <c r="F277" s="1" t="str">
        <f t="shared" si="237"/>
        <v>Book</v>
      </c>
      <c r="G277" s="1" t="str">
        <f>"44856"</f>
        <v>44856</v>
      </c>
      <c r="H277" s="1" t="str">
        <f t="shared" si="238"/>
        <v>2021-05-04</v>
      </c>
      <c r="I277" s="1" t="str">
        <f t="shared" si="6"/>
        <v>2</v>
      </c>
      <c r="J277" s="1" t="str">
        <f t="shared" si="7"/>
        <v>Rejected All</v>
      </c>
      <c r="L277" s="1" t="str">
        <f>"45269"</f>
        <v>45269</v>
      </c>
      <c r="M277" s="1" t="str">
        <f>"46"</f>
        <v>46</v>
      </c>
      <c r="N277" s="1" t="str">
        <f>"containing written sexually explicit material involving the use of force or non-consent"</f>
        <v>containing written sexually explicit material involving the use of force or non-consent</v>
      </c>
    </row>
    <row r="278" ht="14.25" customHeight="1">
      <c r="A278" s="1" t="str">
        <f>"The African Lookbook"</f>
        <v>The African Lookbook</v>
      </c>
      <c r="B278" s="1" t="str">
        <f t="shared" ref="B278:B285" si="239">"0"</f>
        <v>0</v>
      </c>
      <c r="C278" s="1" t="str">
        <f t="shared" ref="C278:C285" si="240">"n/a"</f>
        <v>n/a</v>
      </c>
      <c r="D278" s="1" t="str">
        <f>"Catherine E.McKinley"</f>
        <v>Catherine E.McKinley</v>
      </c>
      <c r="E278" s="1" t="str">
        <f t="shared" si="236"/>
        <v>31</v>
      </c>
      <c r="F278" s="1" t="str">
        <f t="shared" si="237"/>
        <v>Book</v>
      </c>
      <c r="G278" s="1" t="str">
        <f>"44883"</f>
        <v>44883</v>
      </c>
      <c r="H278" s="1" t="str">
        <f t="shared" ref="H278:H283" si="241">"2021-05-18"</f>
        <v>2021-05-18</v>
      </c>
      <c r="I278" s="1" t="str">
        <f t="shared" si="6"/>
        <v>2</v>
      </c>
      <c r="J278" s="1" t="str">
        <f t="shared" si="7"/>
        <v>Rejected All</v>
      </c>
      <c r="L278" s="1" t="str">
        <f>"45294"</f>
        <v>45294</v>
      </c>
      <c r="M278" s="1" t="str">
        <f>"39"</f>
        <v>39</v>
      </c>
      <c r="N278" s="1" t="str">
        <f>"being detrimental to security for the following reason:"</f>
        <v>being detrimental to security for the following reason:</v>
      </c>
    </row>
    <row r="279" ht="14.25" customHeight="1">
      <c r="A279" s="1" t="str">
        <f>"Katlick School"</f>
        <v>Katlick School</v>
      </c>
      <c r="B279" s="1" t="str">
        <f t="shared" si="239"/>
        <v>0</v>
      </c>
      <c r="C279" s="1" t="str">
        <f t="shared" si="240"/>
        <v>n/a</v>
      </c>
      <c r="D279" s="1" t="str">
        <f>"Sante D&amp;#39;Crazio"</f>
        <v>Sante D&amp;#39;Crazio</v>
      </c>
      <c r="E279" s="1" t="str">
        <f t="shared" si="236"/>
        <v>31</v>
      </c>
      <c r="F279" s="1" t="str">
        <f t="shared" si="237"/>
        <v>Book</v>
      </c>
      <c r="G279" s="1" t="str">
        <f>"44911"</f>
        <v>44911</v>
      </c>
      <c r="H279" s="1" t="str">
        <f t="shared" si="241"/>
        <v>2021-05-18</v>
      </c>
      <c r="I279" s="1" t="str">
        <f t="shared" si="6"/>
        <v>2</v>
      </c>
      <c r="J279" s="1" t="str">
        <f t="shared" si="7"/>
        <v>Rejected All</v>
      </c>
      <c r="L279" s="1" t="str">
        <f>"45324"</f>
        <v>45324</v>
      </c>
      <c r="M279" s="1" t="str">
        <f>"42"</f>
        <v>42</v>
      </c>
      <c r="N279" s="1" t="str">
        <f>"containing pictorially explicit nudity"</f>
        <v>containing pictorially explicit nudity</v>
      </c>
    </row>
    <row r="280" ht="14.25" customHeight="1">
      <c r="A280" s="1" t="str">
        <f>"How To Play Blackjack the Easy Way"</f>
        <v>How To Play Blackjack the Easy Way</v>
      </c>
      <c r="B280" s="1" t="str">
        <f t="shared" si="239"/>
        <v>0</v>
      </c>
      <c r="C280" s="1" t="str">
        <f t="shared" si="240"/>
        <v>n/a</v>
      </c>
      <c r="D280" s="1" t="str">
        <f>"mike Baseman"</f>
        <v>mike Baseman</v>
      </c>
      <c r="E280" s="1" t="str">
        <f t="shared" si="236"/>
        <v>31</v>
      </c>
      <c r="F280" s="1" t="str">
        <f t="shared" si="237"/>
        <v>Book</v>
      </c>
      <c r="G280" s="1" t="str">
        <f>"44916"</f>
        <v>44916</v>
      </c>
      <c r="H280" s="1" t="str">
        <f t="shared" si="241"/>
        <v>2021-05-18</v>
      </c>
      <c r="I280" s="1" t="str">
        <f t="shared" si="6"/>
        <v>2</v>
      </c>
      <c r="J280" s="1" t="str">
        <f t="shared" si="7"/>
        <v>Rejected All</v>
      </c>
      <c r="L280" s="1" t="str">
        <f>"45329"</f>
        <v>45329</v>
      </c>
      <c r="M280" s="1" t="str">
        <f>"39"</f>
        <v>39</v>
      </c>
      <c r="N280" s="1" t="str">
        <f>"being detrimental to security for the following reason:"</f>
        <v>being detrimental to security for the following reason:</v>
      </c>
    </row>
    <row r="281" ht="14.25" customHeight="1">
      <c r="A281" s="1" t="str">
        <f>"CBD Everyday"</f>
        <v>CBD Everyday</v>
      </c>
      <c r="B281" s="1" t="str">
        <f t="shared" si="239"/>
        <v>0</v>
      </c>
      <c r="C281" s="1" t="str">
        <f t="shared" si="240"/>
        <v>n/a</v>
      </c>
      <c r="D281" s="1" t="str">
        <f>"Sandra Hinchilffe"</f>
        <v>Sandra Hinchilffe</v>
      </c>
      <c r="E281" s="1" t="str">
        <f t="shared" si="236"/>
        <v>31</v>
      </c>
      <c r="F281" s="1" t="str">
        <f t="shared" si="237"/>
        <v>Book</v>
      </c>
      <c r="G281" s="1" t="str">
        <f>"44922"</f>
        <v>44922</v>
      </c>
      <c r="H281" s="1" t="str">
        <f t="shared" si="241"/>
        <v>2021-05-18</v>
      </c>
      <c r="I281" s="1" t="str">
        <f t="shared" si="6"/>
        <v>2</v>
      </c>
      <c r="J281" s="1" t="str">
        <f t="shared" si="7"/>
        <v>Rejected All</v>
      </c>
      <c r="L281" s="1" t="str">
        <f>"45335"</f>
        <v>45335</v>
      </c>
      <c r="M281" s="1" t="str">
        <f>"7"</f>
        <v>7</v>
      </c>
      <c r="N281" s="1" t="str">
        <f>"describing procedures to brew alcohol or manufacture drugs"</f>
        <v>describing procedures to brew alcohol or manufacture drugs</v>
      </c>
    </row>
    <row r="282" ht="14.25" customHeight="1">
      <c r="A282" s="1" t="str">
        <f>"Meet Your Strawman"</f>
        <v>Meet Your Strawman</v>
      </c>
      <c r="B282" s="1" t="str">
        <f t="shared" si="239"/>
        <v>0</v>
      </c>
      <c r="C282" s="1" t="str">
        <f t="shared" si="240"/>
        <v>n/a</v>
      </c>
      <c r="D282" s="1" t="str">
        <f>"We The People"</f>
        <v>We The People</v>
      </c>
      <c r="E282" s="1" t="str">
        <f t="shared" si="236"/>
        <v>31</v>
      </c>
      <c r="F282" s="1" t="str">
        <f t="shared" si="237"/>
        <v>Book</v>
      </c>
      <c r="G282" s="1" t="str">
        <f>"44935"</f>
        <v>44935</v>
      </c>
      <c r="H282" s="1" t="str">
        <f t="shared" si="241"/>
        <v>2021-05-18</v>
      </c>
      <c r="I282" s="1" t="str">
        <f t="shared" si="6"/>
        <v>2</v>
      </c>
      <c r="J282" s="1" t="str">
        <f t="shared" si="7"/>
        <v>Rejected All</v>
      </c>
      <c r="L282" s="1" t="str">
        <f>"45348"</f>
        <v>45348</v>
      </c>
      <c r="M282" s="1" t="str">
        <f>"50"</f>
        <v>50</v>
      </c>
      <c r="N282" s="1" t="str">
        <f>"containing material influenced by &amp;quot;sovereign citizen&amp;quot; ideology"</f>
        <v>containing material influenced by &amp;quot;sovereign citizen&amp;quot; ideology</v>
      </c>
    </row>
    <row r="283" ht="14.25" customHeight="1">
      <c r="A283" s="1" t="str">
        <f>"Instant Tai Chi: Exercises and Guidance for Everyday Wellness"</f>
        <v>Instant Tai Chi: Exercises and Guidance for Everyday Wellness</v>
      </c>
      <c r="B283" s="1" t="str">
        <f t="shared" si="239"/>
        <v>0</v>
      </c>
      <c r="C283" s="1" t="str">
        <f t="shared" si="240"/>
        <v>n/a</v>
      </c>
      <c r="D283" s="1" t="str">
        <f>"Ronnie Robinson"</f>
        <v>Ronnie Robinson</v>
      </c>
      <c r="E283" s="1" t="str">
        <f t="shared" si="236"/>
        <v>31</v>
      </c>
      <c r="F283" s="1" t="str">
        <f t="shared" si="237"/>
        <v>Book</v>
      </c>
      <c r="G283" s="1" t="str">
        <f>"44942"</f>
        <v>44942</v>
      </c>
      <c r="H283" s="1" t="str">
        <f t="shared" si="241"/>
        <v>2021-05-18</v>
      </c>
      <c r="I283" s="1" t="str">
        <f t="shared" si="6"/>
        <v>2</v>
      </c>
      <c r="J283" s="1" t="str">
        <f t="shared" si="7"/>
        <v>Rejected All</v>
      </c>
      <c r="L283" s="1" t="str">
        <f>"45354"</f>
        <v>45354</v>
      </c>
      <c r="M283" s="1" t="str">
        <f>"9"</f>
        <v>9</v>
      </c>
      <c r="N283" s="1" t="str">
        <f>"describing or encouraging physical violence or group disruption"</f>
        <v>describing or encouraging physical violence or group disruption</v>
      </c>
    </row>
    <row r="284" ht="14.25" customHeight="1">
      <c r="A284" s="1" t="str">
        <f>"Gantz Omnibus 5"</f>
        <v>Gantz Omnibus 5</v>
      </c>
      <c r="B284" s="1" t="str">
        <f t="shared" si="239"/>
        <v>0</v>
      </c>
      <c r="C284" s="1" t="str">
        <f t="shared" si="240"/>
        <v>n/a</v>
      </c>
      <c r="D284" s="1" t="str">
        <f>"Hiroya Oku"</f>
        <v>Hiroya Oku</v>
      </c>
      <c r="E284" s="1" t="str">
        <f t="shared" si="236"/>
        <v>31</v>
      </c>
      <c r="F284" s="1" t="str">
        <f t="shared" si="237"/>
        <v>Book</v>
      </c>
      <c r="G284" s="1" t="str">
        <f>"45244"</f>
        <v>45244</v>
      </c>
      <c r="H284" s="1" t="str">
        <f t="shared" ref="H284:H285" si="242">"2021-06-01"</f>
        <v>2021-06-01</v>
      </c>
      <c r="I284" s="1" t="str">
        <f t="shared" si="6"/>
        <v>2</v>
      </c>
      <c r="J284" s="1" t="str">
        <f t="shared" si="7"/>
        <v>Rejected All</v>
      </c>
      <c r="L284" s="1" t="str">
        <f>"45656"</f>
        <v>45656</v>
      </c>
      <c r="M284" s="1" t="str">
        <f>"42"</f>
        <v>42</v>
      </c>
      <c r="N284" s="1" t="str">
        <f>"containing pictorially explicit nudity"</f>
        <v>containing pictorially explicit nudity</v>
      </c>
    </row>
    <row r="285" ht="14.25" customHeight="1">
      <c r="A285" s="1" t="str">
        <f>"The Adventures of Mountain Men "</f>
        <v>The Adventures of Mountain Men </v>
      </c>
      <c r="B285" s="1" t="str">
        <f t="shared" si="239"/>
        <v>0</v>
      </c>
      <c r="C285" s="1" t="str">
        <f t="shared" si="240"/>
        <v>n/a</v>
      </c>
      <c r="D285" s="1" t="str">
        <f>"Stephen Brennan"</f>
        <v>Stephen Brennan</v>
      </c>
      <c r="E285" s="1" t="str">
        <f t="shared" si="236"/>
        <v>31</v>
      </c>
      <c r="F285" s="1" t="str">
        <f t="shared" si="237"/>
        <v>Book</v>
      </c>
      <c r="G285" s="1" t="str">
        <f>"45306"</f>
        <v>45306</v>
      </c>
      <c r="H285" s="1" t="str">
        <f t="shared" si="242"/>
        <v>2021-06-01</v>
      </c>
      <c r="I285" s="1" t="str">
        <f t="shared" si="6"/>
        <v>2</v>
      </c>
      <c r="J285" s="1" t="str">
        <f t="shared" si="7"/>
        <v>Rejected All</v>
      </c>
      <c r="L285" s="1" t="str">
        <f>"45719"</f>
        <v>45719</v>
      </c>
      <c r="M285" s="1" t="str">
        <f>"5"</f>
        <v>5</v>
      </c>
      <c r="N285" s="1" t="str">
        <f>"containing weapon construction procedures"</f>
        <v>containing weapon construction procedures</v>
      </c>
    </row>
    <row r="286" ht="14.25" customHeight="1">
      <c r="A286" s="1" t="str">
        <f t="shared" ref="A286:A288" si="243">"Snowpiercer"</f>
        <v>Snowpiercer</v>
      </c>
      <c r="B286" s="1" t="str">
        <f>"9940"</f>
        <v>9940</v>
      </c>
      <c r="C286" s="1" t="str">
        <f>"1. The Escape"</f>
        <v>1. The Escape</v>
      </c>
      <c r="D286" s="1" t="str">
        <f t="shared" ref="D286:D288" si="244">"Jaques Lob &amp;amp; Jean-Marc Rochette"</f>
        <v>Jaques Lob &amp;amp; Jean-Marc Rochette</v>
      </c>
      <c r="E286" s="1" t="str">
        <f t="shared" si="236"/>
        <v>31</v>
      </c>
      <c r="F286" s="1" t="str">
        <f t="shared" si="237"/>
        <v>Book</v>
      </c>
      <c r="G286" s="1" t="str">
        <f>"44951"</f>
        <v>44951</v>
      </c>
      <c r="H286" s="1" t="str">
        <f t="shared" ref="H286:H306" si="245">"2021-06-15"</f>
        <v>2021-06-15</v>
      </c>
      <c r="I286" s="1" t="str">
        <f t="shared" si="6"/>
        <v>2</v>
      </c>
      <c r="J286" s="1" t="str">
        <f t="shared" si="7"/>
        <v>Rejected All</v>
      </c>
      <c r="L286" s="1" t="str">
        <f>"45363"</f>
        <v>45363</v>
      </c>
      <c r="M286" s="1" t="str">
        <f t="shared" ref="M286:M288" si="246">"42"</f>
        <v>42</v>
      </c>
      <c r="N286" s="1" t="str">
        <f t="shared" ref="N286:N288" si="247">"containing pictorially explicit nudity"</f>
        <v>containing pictorially explicit nudity</v>
      </c>
    </row>
    <row r="287" ht="14.25" customHeight="1">
      <c r="A287" s="1" t="str">
        <f t="shared" si="243"/>
        <v>Snowpiercer</v>
      </c>
      <c r="B287" s="1" t="str">
        <f>"9941"</f>
        <v>9941</v>
      </c>
      <c r="C287" s="1" t="str">
        <f>"2. The Explorers"</f>
        <v>2. The Explorers</v>
      </c>
      <c r="D287" s="1" t="str">
        <f t="shared" si="244"/>
        <v>Jaques Lob &amp;amp; Jean-Marc Rochette</v>
      </c>
      <c r="E287" s="1" t="str">
        <f t="shared" si="236"/>
        <v>31</v>
      </c>
      <c r="F287" s="1" t="str">
        <f t="shared" si="237"/>
        <v>Book</v>
      </c>
      <c r="G287" s="1" t="str">
        <f>"44952"</f>
        <v>44952</v>
      </c>
      <c r="H287" s="1" t="str">
        <f t="shared" si="245"/>
        <v>2021-06-15</v>
      </c>
      <c r="I287" s="1" t="str">
        <f t="shared" si="6"/>
        <v>2</v>
      </c>
      <c r="J287" s="1" t="str">
        <f t="shared" si="7"/>
        <v>Rejected All</v>
      </c>
      <c r="L287" s="1" t="str">
        <f>"45364"</f>
        <v>45364</v>
      </c>
      <c r="M287" s="1" t="str">
        <f t="shared" si="246"/>
        <v>42</v>
      </c>
      <c r="N287" s="1" t="str">
        <f t="shared" si="247"/>
        <v>containing pictorially explicit nudity</v>
      </c>
    </row>
    <row r="288" ht="14.25" customHeight="1">
      <c r="A288" s="1" t="str">
        <f t="shared" si="243"/>
        <v>Snowpiercer</v>
      </c>
      <c r="B288" s="1" t="str">
        <f>"9942"</f>
        <v>9942</v>
      </c>
      <c r="C288" s="1" t="str">
        <f>"3. Terminus"</f>
        <v>3. Terminus</v>
      </c>
      <c r="D288" s="1" t="str">
        <f t="shared" si="244"/>
        <v>Jaques Lob &amp;amp; Jean-Marc Rochette</v>
      </c>
      <c r="E288" s="1" t="str">
        <f t="shared" si="236"/>
        <v>31</v>
      </c>
      <c r="F288" s="1" t="str">
        <f t="shared" si="237"/>
        <v>Book</v>
      </c>
      <c r="G288" s="1" t="str">
        <f>"44953"</f>
        <v>44953</v>
      </c>
      <c r="H288" s="1" t="str">
        <f t="shared" si="245"/>
        <v>2021-06-15</v>
      </c>
      <c r="I288" s="1" t="str">
        <f t="shared" si="6"/>
        <v>2</v>
      </c>
      <c r="J288" s="1" t="str">
        <f t="shared" si="7"/>
        <v>Rejected All</v>
      </c>
      <c r="L288" s="1" t="str">
        <f>"45365"</f>
        <v>45365</v>
      </c>
      <c r="M288" s="1" t="str">
        <f t="shared" si="246"/>
        <v>42</v>
      </c>
      <c r="N288" s="1" t="str">
        <f t="shared" si="247"/>
        <v>containing pictorially explicit nudity</v>
      </c>
    </row>
    <row r="289" ht="14.25" customHeight="1">
      <c r="A289" s="1" t="str">
        <f>"A Good White Woman"</f>
        <v>A Good White Woman</v>
      </c>
      <c r="B289" s="1" t="str">
        <f t="shared" ref="B289:B302" si="248">"0"</f>
        <v>0</v>
      </c>
      <c r="C289" s="1" t="str">
        <f t="shared" ref="C289:C302" si="249">"n/a"</f>
        <v>n/a</v>
      </c>
      <c r="D289" s="1" t="str">
        <f>"Michael Massey"</f>
        <v>Michael Massey</v>
      </c>
      <c r="E289" s="1" t="str">
        <f t="shared" si="236"/>
        <v>31</v>
      </c>
      <c r="F289" s="1" t="str">
        <f t="shared" si="237"/>
        <v>Book</v>
      </c>
      <c r="G289" s="1" t="str">
        <f>"44950"</f>
        <v>44950</v>
      </c>
      <c r="H289" s="1" t="str">
        <f t="shared" si="245"/>
        <v>2021-06-15</v>
      </c>
      <c r="I289" s="1" t="str">
        <f t="shared" si="6"/>
        <v>2</v>
      </c>
      <c r="J289" s="1" t="str">
        <f t="shared" si="7"/>
        <v>Rejected All</v>
      </c>
      <c r="L289" s="1" t="str">
        <f>"45362"</f>
        <v>45362</v>
      </c>
      <c r="M289" s="1" t="str">
        <f>"46"</f>
        <v>46</v>
      </c>
      <c r="N289" s="1" t="str">
        <f>"containing written sexually explicit material involving the use of force or non-consent"</f>
        <v>containing written sexually explicit material involving the use of force or non-consent</v>
      </c>
    </row>
    <row r="290" ht="14.25" customHeight="1">
      <c r="A290" s="1" t="str">
        <f>"Last Minute Survival Secrets"</f>
        <v>Last Minute Survival Secrets</v>
      </c>
      <c r="B290" s="1" t="str">
        <f t="shared" si="248"/>
        <v>0</v>
      </c>
      <c r="C290" s="1" t="str">
        <f t="shared" si="249"/>
        <v>n/a</v>
      </c>
      <c r="D290" s="1" t="str">
        <f>"Joey Green"</f>
        <v>Joey Green</v>
      </c>
      <c r="E290" s="1" t="str">
        <f t="shared" si="236"/>
        <v>31</v>
      </c>
      <c r="F290" s="1" t="str">
        <f t="shared" si="237"/>
        <v>Book</v>
      </c>
      <c r="G290" s="1" t="str">
        <f>"44956"</f>
        <v>44956</v>
      </c>
      <c r="H290" s="1" t="str">
        <f t="shared" si="245"/>
        <v>2021-06-15</v>
      </c>
      <c r="I290" s="1" t="str">
        <f t="shared" si="6"/>
        <v>2</v>
      </c>
      <c r="J290" s="1" t="str">
        <f t="shared" si="7"/>
        <v>Rejected All</v>
      </c>
      <c r="L290" s="1" t="str">
        <f>"45368"</f>
        <v>45368</v>
      </c>
      <c r="M290" s="1" t="str">
        <f>"39"</f>
        <v>39</v>
      </c>
      <c r="N290" s="1" t="str">
        <f>"being detrimental to security for the following reason:"</f>
        <v>being detrimental to security for the following reason:</v>
      </c>
    </row>
    <row r="291" ht="14.25" customHeight="1">
      <c r="A291" s="1" t="str">
        <f>"The Ninja Mind"</f>
        <v>The Ninja Mind</v>
      </c>
      <c r="B291" s="1" t="str">
        <f t="shared" si="248"/>
        <v>0</v>
      </c>
      <c r="C291" s="1" t="str">
        <f t="shared" si="249"/>
        <v>n/a</v>
      </c>
      <c r="D291" s="1" t="str">
        <f>"Kevin Cassey"</f>
        <v>Kevin Cassey</v>
      </c>
      <c r="E291" s="1" t="str">
        <f t="shared" si="236"/>
        <v>31</v>
      </c>
      <c r="F291" s="1" t="str">
        <f t="shared" si="237"/>
        <v>Book</v>
      </c>
      <c r="G291" s="1" t="str">
        <f>"44959"</f>
        <v>44959</v>
      </c>
      <c r="H291" s="1" t="str">
        <f t="shared" si="245"/>
        <v>2021-06-15</v>
      </c>
      <c r="I291" s="1" t="str">
        <f t="shared" si="6"/>
        <v>2</v>
      </c>
      <c r="J291" s="1" t="str">
        <f t="shared" si="7"/>
        <v>Rejected All</v>
      </c>
      <c r="L291" s="1" t="str">
        <f>"45372"</f>
        <v>45372</v>
      </c>
      <c r="M291" s="1" t="str">
        <f>"9"</f>
        <v>9</v>
      </c>
      <c r="N291" s="1" t="str">
        <f>"describing or encouraging physical violence or group disruption"</f>
        <v>describing or encouraging physical violence or group disruption</v>
      </c>
    </row>
    <row r="292" ht="14.25" customHeight="1">
      <c r="A292" s="1" t="str">
        <f>"Fight To Win"</f>
        <v>Fight To Win</v>
      </c>
      <c r="B292" s="1" t="str">
        <f t="shared" si="248"/>
        <v>0</v>
      </c>
      <c r="C292" s="1" t="str">
        <f t="shared" si="249"/>
        <v>n/a</v>
      </c>
      <c r="D292" s="1" t="str">
        <f>"Martin J. Dougherty"</f>
        <v>Martin J. Dougherty</v>
      </c>
      <c r="E292" s="1" t="str">
        <f t="shared" si="236"/>
        <v>31</v>
      </c>
      <c r="F292" s="1" t="str">
        <f t="shared" si="237"/>
        <v>Book</v>
      </c>
      <c r="G292" s="1" t="str">
        <f>"45051"</f>
        <v>45051</v>
      </c>
      <c r="H292" s="1" t="str">
        <f t="shared" si="245"/>
        <v>2021-06-15</v>
      </c>
      <c r="I292" s="1" t="str">
        <f t="shared" si="6"/>
        <v>2</v>
      </c>
      <c r="J292" s="1" t="str">
        <f t="shared" si="7"/>
        <v>Rejected All</v>
      </c>
      <c r="L292" s="1" t="str">
        <f>"45464"</f>
        <v>45464</v>
      </c>
      <c r="M292" s="1" t="str">
        <f>"40"</f>
        <v>40</v>
      </c>
      <c r="N292" s="1" t="str">
        <f>"describing fighting techniques"</f>
        <v>describing fighting techniques</v>
      </c>
    </row>
    <row r="293" ht="14.25" customHeight="1">
      <c r="A293" s="1" t="str">
        <f>"World&amp;#39;s Worst Prisons"</f>
        <v>World&amp;#39;s Worst Prisons</v>
      </c>
      <c r="B293" s="1" t="str">
        <f t="shared" si="248"/>
        <v>0</v>
      </c>
      <c r="C293" s="1" t="str">
        <f t="shared" si="249"/>
        <v>n/a</v>
      </c>
      <c r="D293" s="1" t="str">
        <f>"Karen Farrington"</f>
        <v>Karen Farrington</v>
      </c>
      <c r="E293" s="1" t="str">
        <f t="shared" si="236"/>
        <v>31</v>
      </c>
      <c r="F293" s="1" t="str">
        <f t="shared" si="237"/>
        <v>Book</v>
      </c>
      <c r="G293" s="1" t="str">
        <f>"45053"</f>
        <v>45053</v>
      </c>
      <c r="H293" s="1" t="str">
        <f t="shared" si="245"/>
        <v>2021-06-15</v>
      </c>
      <c r="I293" s="1" t="str">
        <f t="shared" si="6"/>
        <v>2</v>
      </c>
      <c r="J293" s="1" t="str">
        <f t="shared" si="7"/>
        <v>Rejected All</v>
      </c>
      <c r="L293" s="1" t="str">
        <f>"45466"</f>
        <v>45466</v>
      </c>
      <c r="M293" s="1" t="str">
        <f>"39"</f>
        <v>39</v>
      </c>
      <c r="N293" s="1" t="str">
        <f>"being detrimental to security for the following reason:"</f>
        <v>being detrimental to security for the following reason:</v>
      </c>
    </row>
    <row r="294" ht="14.25" customHeight="1">
      <c r="A294" s="1" t="str">
        <f>"Block Party 666"</f>
        <v>Block Party 666</v>
      </c>
      <c r="B294" s="1" t="str">
        <f t="shared" si="248"/>
        <v>0</v>
      </c>
      <c r="C294" s="1" t="str">
        <f t="shared" si="249"/>
        <v>n/a</v>
      </c>
      <c r="D294" s="1" t="str">
        <f>"Al-Saadiq Banks"</f>
        <v>Al-Saadiq Banks</v>
      </c>
      <c r="E294" s="1" t="str">
        <f t="shared" si="236"/>
        <v>31</v>
      </c>
      <c r="F294" s="1" t="str">
        <f t="shared" si="237"/>
        <v>Book</v>
      </c>
      <c r="G294" s="1" t="str">
        <f>"45058"</f>
        <v>45058</v>
      </c>
      <c r="H294" s="1" t="str">
        <f t="shared" si="245"/>
        <v>2021-06-15</v>
      </c>
      <c r="I294" s="1" t="str">
        <f t="shared" si="6"/>
        <v>2</v>
      </c>
      <c r="J294" s="1" t="str">
        <f t="shared" si="7"/>
        <v>Rejected All</v>
      </c>
      <c r="L294" s="1" t="str">
        <f>"45471"</f>
        <v>45471</v>
      </c>
      <c r="M294" s="1" t="str">
        <f>"47"</f>
        <v>47</v>
      </c>
      <c r="N294" s="1" t="str">
        <f>"containing descriptions of security risk group material or activity"</f>
        <v>containing descriptions of security risk group material or activity</v>
      </c>
    </row>
    <row r="295" ht="14.25" customHeight="1">
      <c r="A295" s="1" t="str">
        <f>"Wing Chun Kung Fu"</f>
        <v>Wing Chun Kung Fu</v>
      </c>
      <c r="B295" s="1" t="str">
        <f t="shared" si="248"/>
        <v>0</v>
      </c>
      <c r="C295" s="1" t="str">
        <f t="shared" si="249"/>
        <v>n/a</v>
      </c>
      <c r="D295" s="1" t="str">
        <f>"lp Chun"</f>
        <v>lp Chun</v>
      </c>
      <c r="E295" s="1" t="str">
        <f t="shared" si="236"/>
        <v>31</v>
      </c>
      <c r="F295" s="1" t="str">
        <f t="shared" si="237"/>
        <v>Book</v>
      </c>
      <c r="G295" s="1" t="str">
        <f>"45119"</f>
        <v>45119</v>
      </c>
      <c r="H295" s="1" t="str">
        <f t="shared" si="245"/>
        <v>2021-06-15</v>
      </c>
      <c r="I295" s="1" t="str">
        <f t="shared" si="6"/>
        <v>2</v>
      </c>
      <c r="J295" s="1" t="str">
        <f t="shared" si="7"/>
        <v>Rejected All</v>
      </c>
      <c r="L295" s="1" t="str">
        <f>"45532"</f>
        <v>45532</v>
      </c>
      <c r="M295" s="1" t="str">
        <f>"40"</f>
        <v>40</v>
      </c>
      <c r="N295" s="1" t="str">
        <f>"describing fighting techniques"</f>
        <v>describing fighting techniques</v>
      </c>
    </row>
    <row r="296" ht="14.25" customHeight="1">
      <c r="A296" s="1" t="str">
        <f>"Brain Tanning: An Easy Guide for the 21st Century"</f>
        <v>Brain Tanning: An Easy Guide for the 21st Century</v>
      </c>
      <c r="B296" s="1" t="str">
        <f t="shared" si="248"/>
        <v>0</v>
      </c>
      <c r="C296" s="1" t="str">
        <f t="shared" si="249"/>
        <v>n/a</v>
      </c>
      <c r="D296" s="1" t="str">
        <f>"Dick Walsh"</f>
        <v>Dick Walsh</v>
      </c>
      <c r="E296" s="1" t="str">
        <f t="shared" si="236"/>
        <v>31</v>
      </c>
      <c r="F296" s="1" t="str">
        <f t="shared" si="237"/>
        <v>Book</v>
      </c>
      <c r="G296" s="1" t="str">
        <f>"45120"</f>
        <v>45120</v>
      </c>
      <c r="H296" s="1" t="str">
        <f t="shared" si="245"/>
        <v>2021-06-15</v>
      </c>
      <c r="I296" s="1" t="str">
        <f t="shared" si="6"/>
        <v>2</v>
      </c>
      <c r="J296" s="1" t="str">
        <f t="shared" si="7"/>
        <v>Rejected All</v>
      </c>
      <c r="L296" s="1" t="str">
        <f>"45533"</f>
        <v>45533</v>
      </c>
      <c r="M296" s="1" t="str">
        <f>"5"</f>
        <v>5</v>
      </c>
      <c r="N296" s="1" t="str">
        <f>"containing weapon construction procedures"</f>
        <v>containing weapon construction procedures</v>
      </c>
    </row>
    <row r="297" ht="14.25" customHeight="1">
      <c r="A297" s="1" t="str">
        <f>"The Preseving Answer Book"</f>
        <v>The Preseving Answer Book</v>
      </c>
      <c r="B297" s="1" t="str">
        <f t="shared" si="248"/>
        <v>0</v>
      </c>
      <c r="C297" s="1" t="str">
        <f t="shared" si="249"/>
        <v>n/a</v>
      </c>
      <c r="D297" s="1" t="str">
        <f>"Sherri Brooks Vinton"</f>
        <v>Sherri Brooks Vinton</v>
      </c>
      <c r="E297" s="1" t="str">
        <f t="shared" si="236"/>
        <v>31</v>
      </c>
      <c r="F297" s="1" t="str">
        <f t="shared" si="237"/>
        <v>Book</v>
      </c>
      <c r="G297" s="1" t="str">
        <f>"45122"</f>
        <v>45122</v>
      </c>
      <c r="H297" s="1" t="str">
        <f t="shared" si="245"/>
        <v>2021-06-15</v>
      </c>
      <c r="I297" s="1" t="str">
        <f t="shared" si="6"/>
        <v>2</v>
      </c>
      <c r="J297" s="1" t="str">
        <f t="shared" si="7"/>
        <v>Rejected All</v>
      </c>
      <c r="L297" s="1" t="str">
        <f>"45535"</f>
        <v>45535</v>
      </c>
      <c r="M297" s="1" t="str">
        <f>"7"</f>
        <v>7</v>
      </c>
      <c r="N297" s="1" t="str">
        <f>"describing procedures to brew alcohol or manufacture drugs"</f>
        <v>describing procedures to brew alcohol or manufacture drugs</v>
      </c>
    </row>
    <row r="298" ht="14.25" customHeight="1">
      <c r="A298" s="1" t="str">
        <f>"Hokusai-A Graphic Biography"</f>
        <v>Hokusai-A Graphic Biography</v>
      </c>
      <c r="B298" s="1" t="str">
        <f t="shared" si="248"/>
        <v>0</v>
      </c>
      <c r="C298" s="1" t="str">
        <f t="shared" si="249"/>
        <v>n/a</v>
      </c>
      <c r="D298" s="1" t="str">
        <f>"Giuseppi Lafanza"</f>
        <v>Giuseppi Lafanza</v>
      </c>
      <c r="E298" s="1" t="str">
        <f t="shared" si="236"/>
        <v>31</v>
      </c>
      <c r="F298" s="1" t="str">
        <f t="shared" si="237"/>
        <v>Book</v>
      </c>
      <c r="G298" s="1" t="str">
        <f>"45158"</f>
        <v>45158</v>
      </c>
      <c r="H298" s="1" t="str">
        <f t="shared" si="245"/>
        <v>2021-06-15</v>
      </c>
      <c r="I298" s="1" t="str">
        <f t="shared" si="6"/>
        <v>2</v>
      </c>
      <c r="J298" s="1" t="str">
        <f t="shared" si="7"/>
        <v>Rejected All</v>
      </c>
      <c r="L298" s="1" t="str">
        <f>"45570"</f>
        <v>45570</v>
      </c>
      <c r="M298" s="1" t="str">
        <f t="shared" ref="M298:M299" si="250">"42"</f>
        <v>42</v>
      </c>
      <c r="N298" s="1" t="str">
        <f t="shared" ref="N298:N299" si="251">"containing pictorially explicit nudity"</f>
        <v>containing pictorially explicit nudity</v>
      </c>
    </row>
    <row r="299" ht="14.25" customHeight="1">
      <c r="A299" s="1" t="str">
        <f>"Bettie Page: Queen of the Nile"</f>
        <v>Bettie Page: Queen of the Nile</v>
      </c>
      <c r="B299" s="1" t="str">
        <f t="shared" si="248"/>
        <v>0</v>
      </c>
      <c r="C299" s="1" t="str">
        <f t="shared" si="249"/>
        <v>n/a</v>
      </c>
      <c r="D299" s="1" t="str">
        <f>"Jim Slike"</f>
        <v>Jim Slike</v>
      </c>
      <c r="E299" s="1" t="str">
        <f t="shared" si="236"/>
        <v>31</v>
      </c>
      <c r="F299" s="1" t="str">
        <f t="shared" si="237"/>
        <v>Book</v>
      </c>
      <c r="G299" s="1" t="str">
        <f>"45160"</f>
        <v>45160</v>
      </c>
      <c r="H299" s="1" t="str">
        <f t="shared" si="245"/>
        <v>2021-06-15</v>
      </c>
      <c r="I299" s="1" t="str">
        <f t="shared" si="6"/>
        <v>2</v>
      </c>
      <c r="J299" s="1" t="str">
        <f t="shared" si="7"/>
        <v>Rejected All</v>
      </c>
      <c r="L299" s="1" t="str">
        <f>"45572"</f>
        <v>45572</v>
      </c>
      <c r="M299" s="1" t="str">
        <f t="shared" si="250"/>
        <v>42</v>
      </c>
      <c r="N299" s="1" t="str">
        <f t="shared" si="251"/>
        <v>containing pictorially explicit nudity</v>
      </c>
    </row>
    <row r="300" ht="14.25" customHeight="1">
      <c r="A300" s="1" t="str">
        <f>"Binding Discoveries"</f>
        <v>Binding Discoveries</v>
      </c>
      <c r="B300" s="1" t="str">
        <f t="shared" si="248"/>
        <v>0</v>
      </c>
      <c r="C300" s="1" t="str">
        <f t="shared" si="249"/>
        <v>n/a</v>
      </c>
      <c r="D300" s="1" t="str">
        <f>"Claire Thompson"</f>
        <v>Claire Thompson</v>
      </c>
      <c r="E300" s="1" t="str">
        <f t="shared" si="236"/>
        <v>31</v>
      </c>
      <c r="F300" s="1" t="str">
        <f t="shared" si="237"/>
        <v>Book</v>
      </c>
      <c r="G300" s="1" t="str">
        <f>"45162"</f>
        <v>45162</v>
      </c>
      <c r="H300" s="1" t="str">
        <f t="shared" si="245"/>
        <v>2021-06-15</v>
      </c>
      <c r="I300" s="1" t="str">
        <f t="shared" si="6"/>
        <v>2</v>
      </c>
      <c r="J300" s="1" t="str">
        <f t="shared" si="7"/>
        <v>Rejected All</v>
      </c>
      <c r="L300" s="1" t="str">
        <f>"45574"</f>
        <v>45574</v>
      </c>
      <c r="M300" s="1" t="str">
        <f>"43"</f>
        <v>43</v>
      </c>
      <c r="N300" s="1" t="str">
        <f>"containing written sexually explicit / sado-masochistic behavior"</f>
        <v>containing written sexually explicit / sado-masochistic behavior</v>
      </c>
    </row>
    <row r="301" ht="14.25" customHeight="1">
      <c r="A301" s="1" t="str">
        <f>"Last Minute Survival Secrets: 128 Ingenious Tips"</f>
        <v>Last Minute Survival Secrets: 128 Ingenious Tips</v>
      </c>
      <c r="B301" s="1" t="str">
        <f t="shared" si="248"/>
        <v>0</v>
      </c>
      <c r="C301" s="1" t="str">
        <f t="shared" si="249"/>
        <v>n/a</v>
      </c>
      <c r="D301" s="1" t="str">
        <f>"Joey Green"</f>
        <v>Joey Green</v>
      </c>
      <c r="E301" s="1" t="str">
        <f t="shared" si="236"/>
        <v>31</v>
      </c>
      <c r="F301" s="1" t="str">
        <f t="shared" si="237"/>
        <v>Book</v>
      </c>
      <c r="G301" s="1" t="str">
        <f>"45165"</f>
        <v>45165</v>
      </c>
      <c r="H301" s="1" t="str">
        <f t="shared" si="245"/>
        <v>2021-06-15</v>
      </c>
      <c r="I301" s="1" t="str">
        <f t="shared" si="6"/>
        <v>2</v>
      </c>
      <c r="J301" s="1" t="str">
        <f t="shared" si="7"/>
        <v>Rejected All</v>
      </c>
      <c r="L301" s="1" t="str">
        <f>"45577"</f>
        <v>45577</v>
      </c>
      <c r="M301" s="1" t="str">
        <f>"6"</f>
        <v>6</v>
      </c>
      <c r="N301" s="1" t="str">
        <f>"describing or encouraging escape methods"</f>
        <v>describing or encouraging escape methods</v>
      </c>
    </row>
    <row r="302" ht="14.25" customHeight="1">
      <c r="A302" s="1" t="str">
        <f>"The Initiation of Ms. Holly"</f>
        <v>The Initiation of Ms. Holly</v>
      </c>
      <c r="B302" s="1" t="str">
        <f t="shared" si="248"/>
        <v>0</v>
      </c>
      <c r="C302" s="1" t="str">
        <f t="shared" si="249"/>
        <v>n/a</v>
      </c>
      <c r="D302" s="1" t="str">
        <f>"K.D. Grace"</f>
        <v>K.D. Grace</v>
      </c>
      <c r="E302" s="1" t="str">
        <f t="shared" si="236"/>
        <v>31</v>
      </c>
      <c r="F302" s="1" t="str">
        <f t="shared" si="237"/>
        <v>Book</v>
      </c>
      <c r="G302" s="1" t="str">
        <f>"45167"</f>
        <v>45167</v>
      </c>
      <c r="H302" s="1" t="str">
        <f t="shared" si="245"/>
        <v>2021-06-15</v>
      </c>
      <c r="I302" s="1" t="str">
        <f t="shared" si="6"/>
        <v>2</v>
      </c>
      <c r="J302" s="1" t="str">
        <f t="shared" si="7"/>
        <v>Rejected All</v>
      </c>
      <c r="L302" s="1" t="str">
        <f>"45579"</f>
        <v>45579</v>
      </c>
      <c r="M302" s="1" t="str">
        <f>"43"</f>
        <v>43</v>
      </c>
      <c r="N302" s="1" t="str">
        <f>"containing written sexually explicit / sado-masochistic behavior"</f>
        <v>containing written sexually explicit / sado-masochistic behavior</v>
      </c>
    </row>
    <row r="303" ht="14.25" customHeight="1">
      <c r="A303" s="1" t="str">
        <f>"Cheeks"</f>
        <v>Cheeks</v>
      </c>
      <c r="B303" s="1" t="str">
        <f>"10005"</f>
        <v>10005</v>
      </c>
      <c r="C303" s="1" t="str">
        <f>"#301"</f>
        <v>#301</v>
      </c>
      <c r="E303" s="1" t="str">
        <f t="shared" ref="E303:E306" si="252">"32"</f>
        <v>32</v>
      </c>
      <c r="F303" s="1" t="str">
        <f t="shared" ref="F303:F306" si="253">"Magazine/Newspaper"</f>
        <v>Magazine/Newspaper</v>
      </c>
      <c r="G303" s="1" t="str">
        <f>"45067"</f>
        <v>45067</v>
      </c>
      <c r="H303" s="1" t="str">
        <f t="shared" si="245"/>
        <v>2021-06-15</v>
      </c>
      <c r="I303" s="1" t="str">
        <f t="shared" si="6"/>
        <v>2</v>
      </c>
      <c r="J303" s="1" t="str">
        <f t="shared" si="7"/>
        <v>Rejected All</v>
      </c>
      <c r="L303" s="1" t="str">
        <f>"45480"</f>
        <v>45480</v>
      </c>
      <c r="M303" s="1" t="str">
        <f>"41"</f>
        <v>41</v>
      </c>
      <c r="N303" s="1" t="str">
        <f>"containing pictorially explicit sexual activity"</f>
        <v>containing pictorially explicit sexual activity</v>
      </c>
    </row>
    <row r="304" ht="14.25" customHeight="1">
      <c r="A304" s="1" t="str">
        <f>"Reason"</f>
        <v>Reason</v>
      </c>
      <c r="B304" s="1" t="str">
        <f>"10003"</f>
        <v>10003</v>
      </c>
      <c r="C304" s="1" t="str">
        <f>"July 2021 Issue The Crusade Against Big Tech"</f>
        <v>July 2021 Issue The Crusade Against Big Tech</v>
      </c>
      <c r="E304" s="1" t="str">
        <f t="shared" si="252"/>
        <v>32</v>
      </c>
      <c r="F304" s="1" t="str">
        <f t="shared" si="253"/>
        <v>Magazine/Newspaper</v>
      </c>
      <c r="G304" s="1" t="str">
        <f>"45060"</f>
        <v>45060</v>
      </c>
      <c r="H304" s="1" t="str">
        <f t="shared" si="245"/>
        <v>2021-06-15</v>
      </c>
      <c r="I304" s="1" t="str">
        <f t="shared" si="6"/>
        <v>2</v>
      </c>
      <c r="J304" s="1" t="str">
        <f t="shared" si="7"/>
        <v>Rejected All</v>
      </c>
      <c r="L304" s="1" t="str">
        <f>"45473"</f>
        <v>45473</v>
      </c>
      <c r="M304" s="1" t="str">
        <f>"39"</f>
        <v>39</v>
      </c>
      <c r="N304" s="1" t="str">
        <f>"being detrimental to security for the following reason:"</f>
        <v>being detrimental to security for the following reason:</v>
      </c>
    </row>
    <row r="305" ht="14.25" customHeight="1">
      <c r="A305" s="1" t="str">
        <f>"I-D Extraordinary"</f>
        <v>I-D Extraordinary</v>
      </c>
      <c r="B305" s="1" t="str">
        <f>"10020"</f>
        <v>10020</v>
      </c>
      <c r="C305" s="1" t="str">
        <f>"No. 362 The Utopia In Dystoria Issue"</f>
        <v>No. 362 The Utopia In Dystoria Issue</v>
      </c>
      <c r="E305" s="1" t="str">
        <f t="shared" si="252"/>
        <v>32</v>
      </c>
      <c r="F305" s="1" t="str">
        <f t="shared" si="253"/>
        <v>Magazine/Newspaper</v>
      </c>
      <c r="G305" s="1" t="str">
        <f>"45135"</f>
        <v>45135</v>
      </c>
      <c r="H305" s="1" t="str">
        <f t="shared" si="245"/>
        <v>2021-06-15</v>
      </c>
      <c r="I305" s="1" t="str">
        <f t="shared" si="6"/>
        <v>2</v>
      </c>
      <c r="J305" s="1" t="str">
        <f t="shared" si="7"/>
        <v>Rejected All</v>
      </c>
      <c r="L305" s="1" t="str">
        <f>"45545"</f>
        <v>45545</v>
      </c>
      <c r="M305" s="1" t="str">
        <f t="shared" ref="M305:M306" si="254">"42"</f>
        <v>42</v>
      </c>
      <c r="N305" s="1" t="str">
        <f t="shared" ref="N305:N306" si="255">"containing pictorially explicit nudity"</f>
        <v>containing pictorially explicit nudity</v>
      </c>
    </row>
    <row r="306" ht="14.25" customHeight="1">
      <c r="A306" s="1" t="str">
        <f>"Vampress Carmilla"</f>
        <v>Vampress Carmilla</v>
      </c>
      <c r="B306" s="1" t="str">
        <f>"10031"</f>
        <v>10031</v>
      </c>
      <c r="C306" s="1" t="str">
        <f>"Vamps #3"</f>
        <v>Vamps #3</v>
      </c>
      <c r="E306" s="1" t="str">
        <f t="shared" si="252"/>
        <v>32</v>
      </c>
      <c r="F306" s="1" t="str">
        <f t="shared" si="253"/>
        <v>Magazine/Newspaper</v>
      </c>
      <c r="G306" s="1" t="str">
        <f>"45148"</f>
        <v>45148</v>
      </c>
      <c r="H306" s="1" t="str">
        <f t="shared" si="245"/>
        <v>2021-06-15</v>
      </c>
      <c r="I306" s="1" t="str">
        <f t="shared" si="6"/>
        <v>2</v>
      </c>
      <c r="J306" s="1" t="str">
        <f t="shared" si="7"/>
        <v>Rejected All</v>
      </c>
      <c r="L306" s="1" t="str">
        <f>"45560"</f>
        <v>45560</v>
      </c>
      <c r="M306" s="1" t="str">
        <f t="shared" si="254"/>
        <v>42</v>
      </c>
      <c r="N306" s="1" t="str">
        <f t="shared" si="255"/>
        <v>containing pictorially explicit nudity</v>
      </c>
    </row>
    <row r="307" ht="14.25" customHeight="1">
      <c r="A307" s="1" t="str">
        <f>"Enter Nationalnomics"</f>
        <v>Enter Nationalnomics</v>
      </c>
      <c r="B307" s="1" t="str">
        <f>"10338"</f>
        <v>10338</v>
      </c>
      <c r="C307" s="1" t="str">
        <f>"(The King-dom of Divine Free-dom) The Moorish Code"</f>
        <v>(The King-dom of Divine Free-dom) The Moorish Code</v>
      </c>
      <c r="D307" s="1" t="str">
        <f>"T. King Connally-Bey"</f>
        <v>T. King Connally-Bey</v>
      </c>
      <c r="E307" s="1" t="str">
        <f t="shared" ref="E307:E319" si="256">"31"</f>
        <v>31</v>
      </c>
      <c r="F307" s="1" t="str">
        <f t="shared" ref="F307:F319" si="257">"Book"</f>
        <v>Book</v>
      </c>
      <c r="G307" s="1" t="str">
        <f>"45594"</f>
        <v>45594</v>
      </c>
      <c r="H307" s="1" t="str">
        <f t="shared" ref="H307:H322" si="258">"2021-07-06"</f>
        <v>2021-07-06</v>
      </c>
      <c r="I307" s="1" t="str">
        <f t="shared" si="6"/>
        <v>2</v>
      </c>
      <c r="J307" s="1" t="str">
        <f t="shared" si="7"/>
        <v>Rejected All</v>
      </c>
      <c r="L307" s="1" t="str">
        <f>"46006"</f>
        <v>46006</v>
      </c>
      <c r="M307" s="1" t="str">
        <f>"50"</f>
        <v>50</v>
      </c>
      <c r="N307" s="1" t="str">
        <f>"containing material influenced by &amp;quot;sovereign citizen&amp;quot; ideology"</f>
        <v>containing material influenced by &amp;quot;sovereign citizen&amp;quot; ideology</v>
      </c>
    </row>
    <row r="308" ht="14.25" customHeight="1">
      <c r="A308" s="1" t="str">
        <f>"365 Sex Positions "</f>
        <v>365 Sex Positions </v>
      </c>
      <c r="B308" s="1" t="str">
        <f>"10093"</f>
        <v>10093</v>
      </c>
      <c r="C308" s="1" t="str">
        <f>"A New Way Every Day for a Steamy Erotic Year"</f>
        <v>A New Way Every Day for a Steamy Erotic Year</v>
      </c>
      <c r="D308" s="1" t="str">
        <f>"Lisa Sweet "</f>
        <v>Lisa Sweet </v>
      </c>
      <c r="E308" s="1" t="str">
        <f t="shared" si="256"/>
        <v>31</v>
      </c>
      <c r="F308" s="1" t="str">
        <f t="shared" si="257"/>
        <v>Book</v>
      </c>
      <c r="G308" s="1" t="str">
        <f>"12442"</f>
        <v>12442</v>
      </c>
      <c r="H308" s="1" t="str">
        <f t="shared" si="258"/>
        <v>2021-07-06</v>
      </c>
      <c r="I308" s="1" t="str">
        <f t="shared" si="6"/>
        <v>2</v>
      </c>
      <c r="J308" s="1" t="str">
        <f t="shared" si="7"/>
        <v>Rejected All</v>
      </c>
      <c r="L308" s="1" t="str">
        <f>"45666"</f>
        <v>45666</v>
      </c>
      <c r="M308" s="1" t="str">
        <f t="shared" ref="M308:M309" si="259">"42"</f>
        <v>42</v>
      </c>
      <c r="N308" s="1" t="str">
        <f t="shared" ref="N308:N309" si="260">"containing pictorially explicit nudity"</f>
        <v>containing pictorially explicit nudity</v>
      </c>
    </row>
    <row r="309" ht="14.25" customHeight="1">
      <c r="A309" s="1" t="str">
        <f>"All Natural Beauties"</f>
        <v>All Natural Beauties</v>
      </c>
      <c r="B309" s="1" t="str">
        <f t="shared" ref="B309:B311" si="261">"0"</f>
        <v>0</v>
      </c>
      <c r="C309" s="1" t="str">
        <f t="shared" ref="C309:C311" si="262">"n/a"</f>
        <v>n/a</v>
      </c>
      <c r="D309" s="1" t="str">
        <f>"Adam Koons-Goliath"</f>
        <v>Adam Koons-Goliath</v>
      </c>
      <c r="E309" s="1" t="str">
        <f t="shared" si="256"/>
        <v>31</v>
      </c>
      <c r="F309" s="1" t="str">
        <f t="shared" si="257"/>
        <v>Book</v>
      </c>
      <c r="G309" s="1" t="str">
        <f>"45250"</f>
        <v>45250</v>
      </c>
      <c r="H309" s="1" t="str">
        <f t="shared" si="258"/>
        <v>2021-07-06</v>
      </c>
      <c r="I309" s="1" t="str">
        <f t="shared" si="6"/>
        <v>2</v>
      </c>
      <c r="J309" s="1" t="str">
        <f t="shared" si="7"/>
        <v>Rejected All</v>
      </c>
      <c r="L309" s="1" t="str">
        <f>"45663"</f>
        <v>45663</v>
      </c>
      <c r="M309" s="1" t="str">
        <f t="shared" si="259"/>
        <v>42</v>
      </c>
      <c r="N309" s="1" t="str">
        <f t="shared" si="260"/>
        <v>containing pictorially explicit nudity</v>
      </c>
    </row>
    <row r="310" ht="14.25" customHeight="1">
      <c r="A310" s="1" t="str">
        <f>"The Cultural Encyclopedia of the the Breast"</f>
        <v>The Cultural Encyclopedia of the the Breast</v>
      </c>
      <c r="B310" s="1" t="str">
        <f t="shared" si="261"/>
        <v>0</v>
      </c>
      <c r="C310" s="1" t="str">
        <f t="shared" si="262"/>
        <v>n/a</v>
      </c>
      <c r="D310" s="1" t="str">
        <f>"Meril D. Smith"</f>
        <v>Meril D. Smith</v>
      </c>
      <c r="E310" s="1" t="str">
        <f t="shared" si="256"/>
        <v>31</v>
      </c>
      <c r="F310" s="1" t="str">
        <f t="shared" si="257"/>
        <v>Book</v>
      </c>
      <c r="G310" s="1" t="str">
        <f>"45507"</f>
        <v>45507</v>
      </c>
      <c r="H310" s="1" t="str">
        <f t="shared" si="258"/>
        <v>2021-07-06</v>
      </c>
      <c r="I310" s="1" t="str">
        <f t="shared" si="6"/>
        <v>2</v>
      </c>
      <c r="J310" s="1" t="str">
        <f t="shared" si="7"/>
        <v>Rejected All</v>
      </c>
      <c r="L310" s="1" t="str">
        <f>"45921"</f>
        <v>45921</v>
      </c>
      <c r="M310" s="1" t="str">
        <f>"39"</f>
        <v>39</v>
      </c>
      <c r="N310" s="1" t="str">
        <f>"being detrimental to security for the following reason:"</f>
        <v>being detrimental to security for the following reason:</v>
      </c>
    </row>
    <row r="311" ht="14.25" customHeight="1">
      <c r="A311" s="1" t="str">
        <f>"The Tao Of Wing Chun "</f>
        <v>The Tao Of Wing Chun </v>
      </c>
      <c r="B311" s="1" t="str">
        <f t="shared" si="261"/>
        <v>0</v>
      </c>
      <c r="C311" s="1" t="str">
        <f t="shared" si="262"/>
        <v>n/a</v>
      </c>
      <c r="D311" s="1" t="str">
        <f>"Danny Xuan and John Little"</f>
        <v>Danny Xuan and John Little</v>
      </c>
      <c r="E311" s="1" t="str">
        <f t="shared" si="256"/>
        <v>31</v>
      </c>
      <c r="F311" s="1" t="str">
        <f t="shared" si="257"/>
        <v>Book</v>
      </c>
      <c r="G311" s="1" t="str">
        <f>"45532"</f>
        <v>45532</v>
      </c>
      <c r="H311" s="1" t="str">
        <f t="shared" si="258"/>
        <v>2021-07-06</v>
      </c>
      <c r="I311" s="1" t="str">
        <f t="shared" si="6"/>
        <v>2</v>
      </c>
      <c r="J311" s="1" t="str">
        <f t="shared" si="7"/>
        <v>Rejected All</v>
      </c>
      <c r="L311" s="1" t="str">
        <f>"45944"</f>
        <v>45944</v>
      </c>
      <c r="M311" s="1" t="str">
        <f>"40"</f>
        <v>40</v>
      </c>
      <c r="N311" s="1" t="str">
        <f>"describing fighting techniques"</f>
        <v>describing fighting techniques</v>
      </c>
    </row>
    <row r="312" ht="14.25" customHeight="1">
      <c r="A312" s="1" t="str">
        <f t="shared" ref="A312:A313" si="263">"Beyond Science Fiction"</f>
        <v>Beyond Science Fiction</v>
      </c>
      <c r="B312" s="1" t="str">
        <f>"10278"</f>
        <v>10278</v>
      </c>
      <c r="C312" s="1" t="str">
        <f>"The Alternative Realism  of  - Baby Tattoo Carnival or Astounding Art"</f>
        <v>The Alternative Realism  of  - Baby Tattoo Carnival or Astounding Art</v>
      </c>
      <c r="D312" s="1" t="str">
        <f>"Michael Whelan"</f>
        <v>Michael Whelan</v>
      </c>
      <c r="E312" s="1" t="str">
        <f t="shared" si="256"/>
        <v>31</v>
      </c>
      <c r="F312" s="1" t="str">
        <f t="shared" si="257"/>
        <v>Book</v>
      </c>
      <c r="G312" s="1" t="str">
        <f>"45501"</f>
        <v>45501</v>
      </c>
      <c r="H312" s="1" t="str">
        <f t="shared" si="258"/>
        <v>2021-07-06</v>
      </c>
      <c r="I312" s="1" t="str">
        <f t="shared" si="6"/>
        <v>2</v>
      </c>
      <c r="J312" s="1" t="str">
        <f t="shared" si="7"/>
        <v>Rejected All</v>
      </c>
      <c r="L312" s="1" t="str">
        <f>"45915"</f>
        <v>45915</v>
      </c>
      <c r="M312" s="1" t="str">
        <f>"41"</f>
        <v>41</v>
      </c>
      <c r="N312" s="1" t="str">
        <f>"containing pictorially explicit sexual activity"</f>
        <v>containing pictorially explicit sexual activity</v>
      </c>
    </row>
    <row r="313" ht="14.25" customHeight="1">
      <c r="A313" s="1" t="str">
        <f t="shared" si="263"/>
        <v>Beyond Science Fiction</v>
      </c>
      <c r="B313" s="1" t="str">
        <f>"10327"</f>
        <v>10327</v>
      </c>
      <c r="C313" s="1" t="str">
        <f>"The Alternative Realism of Michael Whelan"</f>
        <v>The Alternative Realism of Michael Whelan</v>
      </c>
      <c r="D313" s="1" t="str">
        <f>"Baby Tattoo Carnival of Astounding Art"</f>
        <v>Baby Tattoo Carnival of Astounding Art</v>
      </c>
      <c r="E313" s="1" t="str">
        <f t="shared" si="256"/>
        <v>31</v>
      </c>
      <c r="F313" s="1" t="str">
        <f t="shared" si="257"/>
        <v>Book</v>
      </c>
      <c r="G313" s="1" t="str">
        <f>"45583"</f>
        <v>45583</v>
      </c>
      <c r="H313" s="1" t="str">
        <f t="shared" si="258"/>
        <v>2021-07-06</v>
      </c>
      <c r="I313" s="1" t="str">
        <f t="shared" si="6"/>
        <v>2</v>
      </c>
      <c r="J313" s="1" t="str">
        <f t="shared" si="7"/>
        <v>Rejected All</v>
      </c>
      <c r="L313" s="1" t="str">
        <f>"45995"</f>
        <v>45995</v>
      </c>
      <c r="M313" s="1" t="str">
        <f t="shared" ref="M313:M314" si="264">"42"</f>
        <v>42</v>
      </c>
      <c r="N313" s="1" t="str">
        <f t="shared" ref="N313:N314" si="265">"containing pictorially explicit nudity"</f>
        <v>containing pictorially explicit nudity</v>
      </c>
    </row>
    <row r="314" ht="14.25" customHeight="1">
      <c r="A314" s="1" t="str">
        <f>"Spank!"</f>
        <v>Spank!</v>
      </c>
      <c r="B314" s="1" t="str">
        <f>"10256"</f>
        <v>10256</v>
      </c>
      <c r="C314" s="1" t="str">
        <f>"The Art of "</f>
        <v>The Art of </v>
      </c>
      <c r="D314" s="1" t="str">
        <f>"Fernando Caretta"</f>
        <v>Fernando Caretta</v>
      </c>
      <c r="E314" s="1" t="str">
        <f t="shared" si="256"/>
        <v>31</v>
      </c>
      <c r="F314" s="1" t="str">
        <f t="shared" si="257"/>
        <v>Book</v>
      </c>
      <c r="G314" s="1" t="str">
        <f>"45471"</f>
        <v>45471</v>
      </c>
      <c r="H314" s="1" t="str">
        <f t="shared" si="258"/>
        <v>2021-07-06</v>
      </c>
      <c r="I314" s="1" t="str">
        <f t="shared" si="6"/>
        <v>2</v>
      </c>
      <c r="J314" s="1" t="str">
        <f t="shared" si="7"/>
        <v>Rejected All</v>
      </c>
      <c r="L314" s="1" t="str">
        <f>"45884"</f>
        <v>45884</v>
      </c>
      <c r="M314" s="1" t="str">
        <f t="shared" si="264"/>
        <v>42</v>
      </c>
      <c r="N314" s="1" t="str">
        <f t="shared" si="265"/>
        <v>containing pictorially explicit nudity</v>
      </c>
    </row>
    <row r="315" ht="14.25" customHeight="1">
      <c r="A315" s="1" t="str">
        <f>"In Love with Ezra"</f>
        <v>In Love with Ezra</v>
      </c>
      <c r="B315" s="1" t="str">
        <f t="shared" ref="B315:B316" si="266">"10092"</f>
        <v>10092</v>
      </c>
      <c r="C315" s="1" t="str">
        <f t="shared" ref="C315:C316" si="267">"The Love Unaccounted Series"</f>
        <v>The Love Unaccounted Series</v>
      </c>
      <c r="D315" s="1" t="str">
        <f t="shared" ref="D315:D316" si="268">"Love Belvin"</f>
        <v>Love Belvin</v>
      </c>
      <c r="E315" s="1" t="str">
        <f t="shared" si="256"/>
        <v>31</v>
      </c>
      <c r="F315" s="1" t="str">
        <f t="shared" si="257"/>
        <v>Book</v>
      </c>
      <c r="G315" s="1" t="str">
        <f>"45251"</f>
        <v>45251</v>
      </c>
      <c r="H315" s="1" t="str">
        <f t="shared" si="258"/>
        <v>2021-07-06</v>
      </c>
      <c r="I315" s="1" t="str">
        <f t="shared" si="6"/>
        <v>2</v>
      </c>
      <c r="J315" s="1" t="str">
        <f t="shared" si="7"/>
        <v>Rejected All</v>
      </c>
      <c r="L315" s="1" t="str">
        <f>"45664"</f>
        <v>45664</v>
      </c>
      <c r="M315" s="1" t="str">
        <f t="shared" ref="M315:M316" si="269">"43"</f>
        <v>43</v>
      </c>
      <c r="N315" s="1" t="str">
        <f t="shared" ref="N315:N316" si="270">"containing written sexually explicit / sado-masochistic behavior"</f>
        <v>containing written sexually explicit / sado-masochistic behavior</v>
      </c>
    </row>
    <row r="316" ht="14.25" customHeight="1">
      <c r="A316" s="1" t="str">
        <f>"In Convenant with Ezra"</f>
        <v>In Convenant with Ezra</v>
      </c>
      <c r="B316" s="1" t="str">
        <f t="shared" si="266"/>
        <v>10092</v>
      </c>
      <c r="C316" s="1" t="str">
        <f t="shared" si="267"/>
        <v>The Love Unaccounted Series</v>
      </c>
      <c r="D316" s="1" t="str">
        <f t="shared" si="268"/>
        <v>Love Belvin</v>
      </c>
      <c r="E316" s="1" t="str">
        <f t="shared" si="256"/>
        <v>31</v>
      </c>
      <c r="F316" s="1" t="str">
        <f t="shared" si="257"/>
        <v>Book</v>
      </c>
      <c r="G316" s="1" t="str">
        <f>"45252"</f>
        <v>45252</v>
      </c>
      <c r="H316" s="1" t="str">
        <f t="shared" si="258"/>
        <v>2021-07-06</v>
      </c>
      <c r="I316" s="1" t="str">
        <f t="shared" si="6"/>
        <v>2</v>
      </c>
      <c r="J316" s="1" t="str">
        <f t="shared" si="7"/>
        <v>Rejected All</v>
      </c>
      <c r="L316" s="1" t="str">
        <f>"45665"</f>
        <v>45665</v>
      </c>
      <c r="M316" s="1" t="str">
        <f t="shared" si="269"/>
        <v>43</v>
      </c>
      <c r="N316" s="1" t="str">
        <f t="shared" si="270"/>
        <v>containing written sexually explicit / sado-masochistic behavior</v>
      </c>
    </row>
    <row r="317" ht="14.25" customHeight="1">
      <c r="A317" s="1" t="str">
        <f>"Elemental Magic"</f>
        <v>Elemental Magic</v>
      </c>
      <c r="B317" s="1" t="str">
        <f>"10257"</f>
        <v>10257</v>
      </c>
      <c r="C317" s="1" t="str">
        <f>"Traditional Practices for Working with the Energies of the Natural World"</f>
        <v>Traditional Practices for Working with the Energies of the Natural World</v>
      </c>
      <c r="D317" s="1" t="str">
        <f>"Nigel Pennick"</f>
        <v>Nigel Pennick</v>
      </c>
      <c r="E317" s="1" t="str">
        <f t="shared" si="256"/>
        <v>31</v>
      </c>
      <c r="F317" s="1" t="str">
        <f t="shared" si="257"/>
        <v>Book</v>
      </c>
      <c r="G317" s="1" t="str">
        <f>"45473"</f>
        <v>45473</v>
      </c>
      <c r="H317" s="1" t="str">
        <f t="shared" si="258"/>
        <v>2021-07-06</v>
      </c>
      <c r="I317" s="1" t="str">
        <f t="shared" si="6"/>
        <v>2</v>
      </c>
      <c r="J317" s="1" t="str">
        <f t="shared" si="7"/>
        <v>Rejected All</v>
      </c>
      <c r="L317" s="1" t="str">
        <f>"45886"</f>
        <v>45886</v>
      </c>
      <c r="M317" s="1" t="str">
        <f>"7"</f>
        <v>7</v>
      </c>
      <c r="N317" s="1" t="str">
        <f>"describing procedures to brew alcohol or manufacture drugs"</f>
        <v>describing procedures to brew alcohol or manufacture drugs</v>
      </c>
    </row>
    <row r="318" ht="14.25" customHeight="1">
      <c r="A318" s="1" t="str">
        <f>"Shomin Sample"</f>
        <v>Shomin Sample</v>
      </c>
      <c r="B318" s="1" t="str">
        <f>"4283"</f>
        <v>4283</v>
      </c>
      <c r="C318" s="1" t="str">
        <f>"Vol. 3"</f>
        <v>Vol. 3</v>
      </c>
      <c r="D318" s="1" t="s">
        <v>1</v>
      </c>
      <c r="E318" s="1" t="str">
        <f t="shared" si="256"/>
        <v>31</v>
      </c>
      <c r="F318" s="1" t="str">
        <f t="shared" si="257"/>
        <v>Book</v>
      </c>
      <c r="G318" s="1" t="str">
        <f>"45375"</f>
        <v>45375</v>
      </c>
      <c r="H318" s="1" t="str">
        <f t="shared" si="258"/>
        <v>2021-07-06</v>
      </c>
      <c r="I318" s="1" t="str">
        <f t="shared" si="6"/>
        <v>2</v>
      </c>
      <c r="J318" s="1" t="str">
        <f t="shared" si="7"/>
        <v>Rejected All</v>
      </c>
      <c r="L318" s="1" t="str">
        <f>"45788"</f>
        <v>45788</v>
      </c>
      <c r="M318" s="1" t="str">
        <f>"41"</f>
        <v>41</v>
      </c>
      <c r="N318" s="1" t="str">
        <f>"containing pictorially explicit sexual activity"</f>
        <v>containing pictorially explicit sexual activity</v>
      </c>
    </row>
    <row r="319" ht="14.25" customHeight="1">
      <c r="A319" s="1" t="str">
        <f>"The Secret Relationship Between Blacks &amp;amp; Jews"</f>
        <v>The Secret Relationship Between Blacks &amp;amp; Jews</v>
      </c>
      <c r="B319" s="1" t="str">
        <f>"10306"</f>
        <v>10306</v>
      </c>
      <c r="C319" s="1" t="str">
        <f>"Volume #3"</f>
        <v>Volume #3</v>
      </c>
      <c r="D319" s="1" t="str">
        <f>"The Nation of Islam"</f>
        <v>The Nation of Islam</v>
      </c>
      <c r="E319" s="1" t="str">
        <f t="shared" si="256"/>
        <v>31</v>
      </c>
      <c r="F319" s="1" t="str">
        <f t="shared" si="257"/>
        <v>Book</v>
      </c>
      <c r="G319" s="1" t="str">
        <f>"45544"</f>
        <v>45544</v>
      </c>
      <c r="H319" s="1" t="str">
        <f t="shared" si="258"/>
        <v>2021-07-06</v>
      </c>
      <c r="I319" s="1" t="str">
        <f t="shared" si="6"/>
        <v>2</v>
      </c>
      <c r="J319" s="1" t="str">
        <f t="shared" si="7"/>
        <v>Rejected All</v>
      </c>
      <c r="L319" s="1" t="str">
        <f>"45955"</f>
        <v>45955</v>
      </c>
      <c r="M319" s="1" t="str">
        <f>"9"</f>
        <v>9</v>
      </c>
      <c r="N319" s="1" t="str">
        <f>"describing or encouraging physical violence or group disruption"</f>
        <v>describing or encouraging physical violence or group disruption</v>
      </c>
    </row>
    <row r="320" ht="14.25" customHeight="1">
      <c r="A320" s="1" t="str">
        <f>"BBO Magazine"</f>
        <v>BBO Magazine</v>
      </c>
      <c r="B320" s="1" t="str">
        <f>"10237"</f>
        <v>10237</v>
      </c>
      <c r="C320" s="1" t="str">
        <f>"Iss 12 Vol. 1"</f>
        <v>Iss 12 Vol. 1</v>
      </c>
      <c r="E320" s="1" t="str">
        <f t="shared" ref="E320:E322" si="271">"32"</f>
        <v>32</v>
      </c>
      <c r="F320" s="1" t="str">
        <f t="shared" ref="F320:F322" si="272">"Magazine/Newspaper"</f>
        <v>Magazine/Newspaper</v>
      </c>
      <c r="G320" s="1" t="str">
        <f>"45448"</f>
        <v>45448</v>
      </c>
      <c r="H320" s="1" t="str">
        <f t="shared" si="258"/>
        <v>2021-07-06</v>
      </c>
      <c r="I320" s="1" t="str">
        <f t="shared" si="6"/>
        <v>2</v>
      </c>
      <c r="J320" s="1" t="str">
        <f t="shared" si="7"/>
        <v>Rejected All</v>
      </c>
      <c r="L320" s="1" t="str">
        <f>"45861"</f>
        <v>45861</v>
      </c>
      <c r="M320" s="1" t="str">
        <f t="shared" ref="M320:M321" si="273">"42"</f>
        <v>42</v>
      </c>
      <c r="N320" s="1" t="str">
        <f t="shared" ref="N320:N321" si="274">"containing pictorially explicit nudity"</f>
        <v>containing pictorially explicit nudity</v>
      </c>
    </row>
    <row r="321" ht="14.25" customHeight="1">
      <c r="A321" s="1" t="str">
        <f>"ATM Latinas"</f>
        <v>ATM Latinas</v>
      </c>
      <c r="B321" s="1" t="str">
        <f>"10244"</f>
        <v>10244</v>
      </c>
      <c r="C321" s="1" t="str">
        <f>"Vol. 1 Iss 2"</f>
        <v>Vol. 1 Iss 2</v>
      </c>
      <c r="E321" s="1" t="str">
        <f t="shared" si="271"/>
        <v>32</v>
      </c>
      <c r="F321" s="1" t="str">
        <f t="shared" si="272"/>
        <v>Magazine/Newspaper</v>
      </c>
      <c r="G321" s="1" t="str">
        <f>"45456"</f>
        <v>45456</v>
      </c>
      <c r="H321" s="1" t="str">
        <f t="shared" si="258"/>
        <v>2021-07-06</v>
      </c>
      <c r="I321" s="1" t="str">
        <f t="shared" si="6"/>
        <v>2</v>
      </c>
      <c r="J321" s="1" t="str">
        <f t="shared" si="7"/>
        <v>Rejected All</v>
      </c>
      <c r="L321" s="1" t="str">
        <f>"45869"</f>
        <v>45869</v>
      </c>
      <c r="M321" s="1" t="str">
        <f t="shared" si="273"/>
        <v>42</v>
      </c>
      <c r="N321" s="1" t="str">
        <f t="shared" si="274"/>
        <v>containing pictorially explicit nudity</v>
      </c>
    </row>
    <row r="322" ht="14.25" customHeight="1">
      <c r="A322" s="1" t="str">
        <f>"F.E.D.S."</f>
        <v>F.E.D.S.</v>
      </c>
      <c r="B322" s="1" t="str">
        <f>"10326"</f>
        <v>10326</v>
      </c>
      <c r="C322" s="1" t="str">
        <f>"Vol. 1 Issue #40 Kingpins &amp;amp; Killers - Limited Edition"</f>
        <v>Vol. 1 Issue #40 Kingpins &amp;amp; Killers - Limited Edition</v>
      </c>
      <c r="E322" s="1" t="str">
        <f t="shared" si="271"/>
        <v>32</v>
      </c>
      <c r="F322" s="1" t="str">
        <f t="shared" si="272"/>
        <v>Magazine/Newspaper</v>
      </c>
      <c r="G322" s="1" t="str">
        <f>"45582"</f>
        <v>45582</v>
      </c>
      <c r="H322" s="1" t="str">
        <f t="shared" si="258"/>
        <v>2021-07-06</v>
      </c>
      <c r="I322" s="1" t="str">
        <f t="shared" si="6"/>
        <v>2</v>
      </c>
      <c r="J322" s="1" t="str">
        <f t="shared" si="7"/>
        <v>Rejected All</v>
      </c>
      <c r="L322" s="1" t="str">
        <f>"45994"</f>
        <v>45994</v>
      </c>
      <c r="M322" s="1" t="str">
        <f>"10"</f>
        <v>10</v>
      </c>
      <c r="N322" s="1" t="str">
        <f>"encouraging or instructing on the commision of criminal activity"</f>
        <v>encouraging or instructing on the commision of criminal activity</v>
      </c>
    </row>
    <row r="323" ht="14.25" customHeight="1">
      <c r="A323" s="1" t="str">
        <f>"Forbidden Knowledge"</f>
        <v>Forbidden Knowledge</v>
      </c>
      <c r="B323" s="1" t="str">
        <f>"10368"</f>
        <v>10368</v>
      </c>
      <c r="C323" s="1" t="str">
        <f>"101 Things Not Everyone Should Know How To Do"</f>
        <v>101 Things Not Everyone Should Know How To Do</v>
      </c>
      <c r="D323" s="1" t="str">
        <f>"M. Powell"</f>
        <v>M. Powell</v>
      </c>
      <c r="E323" s="1" t="str">
        <f t="shared" ref="E323:E329" si="275">"31"</f>
        <v>31</v>
      </c>
      <c r="F323" s="1" t="str">
        <f t="shared" ref="F323:F329" si="276">"Book"</f>
        <v>Book</v>
      </c>
      <c r="G323" s="1" t="str">
        <f>"10691"</f>
        <v>10691</v>
      </c>
      <c r="H323" s="1" t="str">
        <f t="shared" ref="H323:H330" si="277">"2021-07-20"</f>
        <v>2021-07-20</v>
      </c>
      <c r="I323" s="1" t="str">
        <f t="shared" si="6"/>
        <v>2</v>
      </c>
      <c r="J323" s="1" t="str">
        <f t="shared" si="7"/>
        <v>Rejected All</v>
      </c>
      <c r="L323" s="1" t="str">
        <f>"46082"</f>
        <v>46082</v>
      </c>
      <c r="M323" s="1" t="str">
        <f>"6"</f>
        <v>6</v>
      </c>
      <c r="N323" s="1" t="str">
        <f>"describing or encouraging escape methods"</f>
        <v>describing or encouraging escape methods</v>
      </c>
    </row>
    <row r="324" ht="14.25" customHeight="1">
      <c r="A324" s="1" t="str">
        <f>"Traphouse King: "</f>
        <v>Traphouse King: </v>
      </c>
      <c r="B324" s="1" t="str">
        <f>"10365"</f>
        <v>10365</v>
      </c>
      <c r="C324" s="1" t="str">
        <f>"Hungry for the Paper"</f>
        <v>Hungry for the Paper</v>
      </c>
      <c r="D324" s="1" t="str">
        <f>"Hood Rich"</f>
        <v>Hood Rich</v>
      </c>
      <c r="E324" s="1" t="str">
        <f t="shared" si="275"/>
        <v>31</v>
      </c>
      <c r="F324" s="1" t="str">
        <f t="shared" si="276"/>
        <v>Book</v>
      </c>
      <c r="G324" s="1" t="str">
        <f>"45641"</f>
        <v>45641</v>
      </c>
      <c r="H324" s="1" t="str">
        <f t="shared" si="277"/>
        <v>2021-07-20</v>
      </c>
      <c r="I324" s="1" t="str">
        <f t="shared" si="6"/>
        <v>2</v>
      </c>
      <c r="J324" s="1" t="str">
        <f t="shared" si="7"/>
        <v>Rejected All</v>
      </c>
      <c r="L324" s="1" t="str">
        <f>"46054"</f>
        <v>46054</v>
      </c>
      <c r="M324" s="1" t="str">
        <f>"10"</f>
        <v>10</v>
      </c>
      <c r="N324" s="1" t="str">
        <f>"encouraging or instructing on the commision of criminal activity"</f>
        <v>encouraging or instructing on the commision of criminal activity</v>
      </c>
    </row>
    <row r="325" ht="14.25" customHeight="1">
      <c r="A325" s="1" t="str">
        <f>"Thot"</f>
        <v>Thot</v>
      </c>
      <c r="B325" s="1" t="str">
        <f t="shared" ref="B325:B329" si="278">"0"</f>
        <v>0</v>
      </c>
      <c r="C325" s="1" t="str">
        <f t="shared" ref="C325:C329" si="279">"n/a"</f>
        <v>n/a</v>
      </c>
      <c r="D325" s="1" t="str">
        <f>"Alah Adams"</f>
        <v>Alah Adams</v>
      </c>
      <c r="E325" s="1" t="str">
        <f t="shared" si="275"/>
        <v>31</v>
      </c>
      <c r="F325" s="1" t="str">
        <f t="shared" si="276"/>
        <v>Book</v>
      </c>
      <c r="G325" s="1" t="str">
        <f>"45601"</f>
        <v>45601</v>
      </c>
      <c r="H325" s="1" t="str">
        <f t="shared" si="277"/>
        <v>2021-07-20</v>
      </c>
      <c r="I325" s="1" t="str">
        <f t="shared" si="6"/>
        <v>2</v>
      </c>
      <c r="J325" s="1" t="str">
        <f t="shared" si="7"/>
        <v>Rejected All</v>
      </c>
      <c r="L325" s="1" t="str">
        <f>"46013"</f>
        <v>46013</v>
      </c>
      <c r="M325" s="1" t="str">
        <f>"43"</f>
        <v>43</v>
      </c>
      <c r="N325" s="1" t="str">
        <f>"containing written sexually explicit / sado-masochistic behavior"</f>
        <v>containing written sexually explicit / sado-masochistic behavior</v>
      </c>
    </row>
    <row r="326" ht="14.25" customHeight="1">
      <c r="A326" s="1" t="str">
        <f>"Renting Lacy"</f>
        <v>Renting Lacy</v>
      </c>
      <c r="B326" s="1" t="str">
        <f t="shared" si="278"/>
        <v>0</v>
      </c>
      <c r="C326" s="1" t="str">
        <f t="shared" si="279"/>
        <v>n/a</v>
      </c>
      <c r="D326" s="1" t="str">
        <f>"Linda Smith"</f>
        <v>Linda Smith</v>
      </c>
      <c r="E326" s="1" t="str">
        <f t="shared" si="275"/>
        <v>31</v>
      </c>
      <c r="F326" s="1" t="str">
        <f t="shared" si="276"/>
        <v>Book</v>
      </c>
      <c r="G326" s="1" t="str">
        <f>"45602"</f>
        <v>45602</v>
      </c>
      <c r="H326" s="1" t="str">
        <f t="shared" si="277"/>
        <v>2021-07-20</v>
      </c>
      <c r="I326" s="1" t="str">
        <f t="shared" si="6"/>
        <v>2</v>
      </c>
      <c r="J326" s="1" t="str">
        <f t="shared" si="7"/>
        <v>Rejected All</v>
      </c>
      <c r="L326" s="1" t="str">
        <f>"46014"</f>
        <v>46014</v>
      </c>
      <c r="M326" s="1" t="str">
        <f>"45"</f>
        <v>45</v>
      </c>
      <c r="N326" s="1" t="str">
        <f>"containing written sexually explicit material involving minors"</f>
        <v>containing written sexually explicit material involving minors</v>
      </c>
    </row>
    <row r="327" ht="14.25" customHeight="1">
      <c r="A327" s="1" t="s">
        <v>14</v>
      </c>
      <c r="B327" s="1" t="str">
        <f t="shared" si="278"/>
        <v>0</v>
      </c>
      <c r="C327" s="1" t="str">
        <f t="shared" si="279"/>
        <v>n/a</v>
      </c>
      <c r="D327" s="1" t="str">
        <f>"Vince Hemington"</f>
        <v>Vince Hemington</v>
      </c>
      <c r="E327" s="1" t="str">
        <f t="shared" si="275"/>
        <v>31</v>
      </c>
      <c r="F327" s="1" t="str">
        <f t="shared" si="276"/>
        <v>Book</v>
      </c>
      <c r="G327" s="1" t="str">
        <f>"45619"</f>
        <v>45619</v>
      </c>
      <c r="H327" s="1" t="str">
        <f t="shared" si="277"/>
        <v>2021-07-20</v>
      </c>
      <c r="I327" s="1" t="str">
        <f t="shared" si="6"/>
        <v>2</v>
      </c>
      <c r="J327" s="1" t="str">
        <f t="shared" si="7"/>
        <v>Rejected All</v>
      </c>
      <c r="L327" s="1" t="str">
        <f>"46031"</f>
        <v>46031</v>
      </c>
      <c r="M327" s="1" t="str">
        <f t="shared" ref="M327:M328" si="280">"42"</f>
        <v>42</v>
      </c>
      <c r="N327" s="1" t="str">
        <f t="shared" ref="N327:N328" si="281">"containing pictorially explicit nudity"</f>
        <v>containing pictorially explicit nudity</v>
      </c>
    </row>
    <row r="328" ht="14.25" customHeight="1">
      <c r="A328" s="1" t="str">
        <f>"Dangerous Curves Women of Action!"</f>
        <v>Dangerous Curves Women of Action!</v>
      </c>
      <c r="B328" s="1" t="str">
        <f t="shared" si="278"/>
        <v>0</v>
      </c>
      <c r="C328" s="1" t="str">
        <f t="shared" si="279"/>
        <v>n/a</v>
      </c>
      <c r="D328" s="1" t="str">
        <f>"Paco Diaz"</f>
        <v>Paco Diaz</v>
      </c>
      <c r="E328" s="1" t="str">
        <f t="shared" si="275"/>
        <v>31</v>
      </c>
      <c r="F328" s="1" t="str">
        <f t="shared" si="276"/>
        <v>Book</v>
      </c>
      <c r="G328" s="1" t="str">
        <f>"45637"</f>
        <v>45637</v>
      </c>
      <c r="H328" s="1" t="str">
        <f t="shared" si="277"/>
        <v>2021-07-20</v>
      </c>
      <c r="I328" s="1" t="str">
        <f t="shared" si="6"/>
        <v>2</v>
      </c>
      <c r="J328" s="1" t="str">
        <f t="shared" si="7"/>
        <v>Rejected All</v>
      </c>
      <c r="L328" s="1" t="str">
        <f>"46050"</f>
        <v>46050</v>
      </c>
      <c r="M328" s="1" t="str">
        <f t="shared" si="280"/>
        <v>42</v>
      </c>
      <c r="N328" s="1" t="str">
        <f t="shared" si="281"/>
        <v>containing pictorially explicit nudity</v>
      </c>
    </row>
    <row r="329" ht="14.25" customHeight="1">
      <c r="A329" s="1" t="str">
        <f>"Japanese Chess: The of Shogi"</f>
        <v>Japanese Chess: The of Shogi</v>
      </c>
      <c r="B329" s="1" t="str">
        <f t="shared" si="278"/>
        <v>0</v>
      </c>
      <c r="C329" s="1" t="str">
        <f t="shared" si="279"/>
        <v>n/a</v>
      </c>
      <c r="D329" s="1" t="str">
        <f>"Trevor Leggett"</f>
        <v>Trevor Leggett</v>
      </c>
      <c r="E329" s="1" t="str">
        <f t="shared" si="275"/>
        <v>31</v>
      </c>
      <c r="F329" s="1" t="str">
        <f t="shared" si="276"/>
        <v>Book</v>
      </c>
      <c r="G329" s="1" t="str">
        <f>"45659"</f>
        <v>45659</v>
      </c>
      <c r="H329" s="1" t="str">
        <f t="shared" si="277"/>
        <v>2021-07-20</v>
      </c>
      <c r="I329" s="1" t="str">
        <f t="shared" si="6"/>
        <v>2</v>
      </c>
      <c r="J329" s="1" t="str">
        <f t="shared" si="7"/>
        <v>Rejected All</v>
      </c>
      <c r="L329" s="1" t="str">
        <f>"46072"</f>
        <v>46072</v>
      </c>
      <c r="M329" s="1" t="str">
        <f>"39"</f>
        <v>39</v>
      </c>
      <c r="N329" s="1" t="str">
        <f>"being detrimental to security for the following reason:"</f>
        <v>being detrimental to security for the following reason:</v>
      </c>
    </row>
    <row r="330" ht="14.25" customHeight="1">
      <c r="A330" s="1" t="str">
        <f>"XotiX"</f>
        <v>XotiX</v>
      </c>
      <c r="B330" s="1" t="str">
        <f>"10351"</f>
        <v>10351</v>
      </c>
      <c r="C330" s="1" t="str">
        <f>"Vol. #8 Kendall Dior (cover)"</f>
        <v>Vol. #8 Kendall Dior (cover)</v>
      </c>
      <c r="E330" s="1" t="str">
        <f>"32"</f>
        <v>32</v>
      </c>
      <c r="F330" s="1" t="str">
        <f>"Magazine/Newspaper"</f>
        <v>Magazine/Newspaper</v>
      </c>
      <c r="G330" s="1" t="str">
        <f>"45617"</f>
        <v>45617</v>
      </c>
      <c r="H330" s="1" t="str">
        <f t="shared" si="277"/>
        <v>2021-07-20</v>
      </c>
      <c r="I330" s="1" t="str">
        <f t="shared" si="6"/>
        <v>2</v>
      </c>
      <c r="J330" s="1" t="str">
        <f t="shared" si="7"/>
        <v>Rejected All</v>
      </c>
      <c r="L330" s="1" t="str">
        <f>"46029"</f>
        <v>46029</v>
      </c>
      <c r="M330" s="1" t="str">
        <f>"42"</f>
        <v>42</v>
      </c>
      <c r="N330" s="1" t="str">
        <f>"containing pictorially explicit nudity"</f>
        <v>containing pictorially explicit nudity</v>
      </c>
    </row>
    <row r="331" ht="14.25" customHeight="1">
      <c r="A331" s="1" t="str">
        <f>"Abenaki Dictionary "</f>
        <v>Abenaki Dictionary </v>
      </c>
      <c r="B331" s="1" t="str">
        <f t="shared" ref="B331:B338" si="282">"0"</f>
        <v>0</v>
      </c>
      <c r="C331" s="1" t="str">
        <f t="shared" ref="C331:C338" si="283">"n/a"</f>
        <v>n/a</v>
      </c>
      <c r="D331" s="1" t="str">
        <f>"Bowman Books"</f>
        <v>Bowman Books</v>
      </c>
      <c r="E331" s="1" t="str">
        <f t="shared" ref="E331:E340" si="284">"31"</f>
        <v>31</v>
      </c>
      <c r="F331" s="1" t="str">
        <f t="shared" ref="F331:F340" si="285">"Book"</f>
        <v>Book</v>
      </c>
      <c r="G331" s="1" t="str">
        <f>"45672"</f>
        <v>45672</v>
      </c>
      <c r="H331" s="1" t="str">
        <f t="shared" ref="H331:H341" si="286">"2021-08-03"</f>
        <v>2021-08-03</v>
      </c>
      <c r="I331" s="1" t="str">
        <f t="shared" si="6"/>
        <v>2</v>
      </c>
      <c r="J331" s="1" t="str">
        <f t="shared" si="7"/>
        <v>Rejected All</v>
      </c>
      <c r="L331" s="1" t="str">
        <f>"46087"</f>
        <v>46087</v>
      </c>
      <c r="M331" s="1" t="str">
        <f>"8"</f>
        <v>8</v>
      </c>
      <c r="N331" s="1" t="str">
        <f>"containing writings in code"</f>
        <v>containing writings in code</v>
      </c>
    </row>
    <row r="332" ht="14.25" customHeight="1">
      <c r="A332" s="1" t="str">
        <f>"Prank Postcards"</f>
        <v>Prank Postcards</v>
      </c>
      <c r="B332" s="1" t="str">
        <f t="shared" si="282"/>
        <v>0</v>
      </c>
      <c r="C332" s="1" t="str">
        <f t="shared" si="283"/>
        <v>n/a</v>
      </c>
      <c r="D332" s="1" t="str">
        <f>"Andrew McNeil"</f>
        <v>Andrew McNeil</v>
      </c>
      <c r="E332" s="1" t="str">
        <f t="shared" si="284"/>
        <v>31</v>
      </c>
      <c r="F332" s="1" t="str">
        <f t="shared" si="285"/>
        <v>Book</v>
      </c>
      <c r="G332" s="1" t="str">
        <f>"45687"</f>
        <v>45687</v>
      </c>
      <c r="H332" s="1" t="str">
        <f t="shared" si="286"/>
        <v>2021-08-03</v>
      </c>
      <c r="I332" s="1" t="str">
        <f t="shared" si="6"/>
        <v>2</v>
      </c>
      <c r="J332" s="1" t="str">
        <f t="shared" si="7"/>
        <v>Rejected All</v>
      </c>
      <c r="L332" s="1" t="str">
        <f>"46106"</f>
        <v>46106</v>
      </c>
      <c r="M332" s="1" t="str">
        <f>"39"</f>
        <v>39</v>
      </c>
      <c r="N332" s="1" t="str">
        <f>"being detrimental to security for the following reason:"</f>
        <v>being detrimental to security for the following reason:</v>
      </c>
    </row>
    <row r="333" ht="14.25" customHeight="1">
      <c r="A333" s="1" t="str">
        <f>"Homebrewed Vinegar"</f>
        <v>Homebrewed Vinegar</v>
      </c>
      <c r="B333" s="1" t="str">
        <f t="shared" si="282"/>
        <v>0</v>
      </c>
      <c r="C333" s="1" t="str">
        <f t="shared" si="283"/>
        <v>n/a</v>
      </c>
      <c r="D333" s="1" t="str">
        <f>"Kirsten K. Shockey"</f>
        <v>Kirsten K. Shockey</v>
      </c>
      <c r="E333" s="1" t="str">
        <f t="shared" si="284"/>
        <v>31</v>
      </c>
      <c r="F333" s="1" t="str">
        <f t="shared" si="285"/>
        <v>Book</v>
      </c>
      <c r="G333" s="1" t="str">
        <f>"45724"</f>
        <v>45724</v>
      </c>
      <c r="H333" s="1" t="str">
        <f t="shared" si="286"/>
        <v>2021-08-03</v>
      </c>
      <c r="I333" s="1" t="str">
        <f t="shared" si="6"/>
        <v>2</v>
      </c>
      <c r="J333" s="1" t="str">
        <f t="shared" si="7"/>
        <v>Rejected All</v>
      </c>
      <c r="L333" s="1" t="str">
        <f>"46142"</f>
        <v>46142</v>
      </c>
      <c r="M333" s="1" t="str">
        <f>"7"</f>
        <v>7</v>
      </c>
      <c r="N333" s="1" t="str">
        <f>"describing procedures to brew alcohol or manufacture drugs"</f>
        <v>describing procedures to brew alcohol or manufacture drugs</v>
      </c>
    </row>
    <row r="334" ht="14.25" customHeight="1">
      <c r="A334" s="1" t="str">
        <f>"Waiting for an Echo"</f>
        <v>Waiting for an Echo</v>
      </c>
      <c r="B334" s="1" t="str">
        <f t="shared" si="282"/>
        <v>0</v>
      </c>
      <c r="C334" s="1" t="str">
        <f t="shared" si="283"/>
        <v>n/a</v>
      </c>
      <c r="D334" s="1" t="str">
        <f>"Christine Montross"</f>
        <v>Christine Montross</v>
      </c>
      <c r="E334" s="1" t="str">
        <f t="shared" si="284"/>
        <v>31</v>
      </c>
      <c r="F334" s="1" t="str">
        <f t="shared" si="285"/>
        <v>Book</v>
      </c>
      <c r="G334" s="1" t="str">
        <f>"45733"</f>
        <v>45733</v>
      </c>
      <c r="H334" s="1" t="str">
        <f t="shared" si="286"/>
        <v>2021-08-03</v>
      </c>
      <c r="I334" s="1" t="str">
        <f t="shared" si="6"/>
        <v>2</v>
      </c>
      <c r="J334" s="1" t="str">
        <f t="shared" si="7"/>
        <v>Rejected All</v>
      </c>
      <c r="L334" s="1" t="str">
        <f>"46152"</f>
        <v>46152</v>
      </c>
      <c r="M334" s="1" t="str">
        <f>"39"</f>
        <v>39</v>
      </c>
      <c r="N334" s="1" t="str">
        <f>"being detrimental to security for the following reason:"</f>
        <v>being detrimental to security for the following reason:</v>
      </c>
    </row>
    <row r="335" ht="14.25" customHeight="1">
      <c r="A335" s="1" t="str">
        <f>"Labryinth"</f>
        <v>Labryinth</v>
      </c>
      <c r="B335" s="1" t="str">
        <f t="shared" si="282"/>
        <v>0</v>
      </c>
      <c r="C335" s="1" t="str">
        <f t="shared" si="283"/>
        <v>n/a</v>
      </c>
      <c r="D335" s="1" t="str">
        <f>"Randall Sullivan"</f>
        <v>Randall Sullivan</v>
      </c>
      <c r="E335" s="1" t="str">
        <f t="shared" si="284"/>
        <v>31</v>
      </c>
      <c r="F335" s="1" t="str">
        <f t="shared" si="285"/>
        <v>Book</v>
      </c>
      <c r="G335" s="1" t="str">
        <f>"45738"</f>
        <v>45738</v>
      </c>
      <c r="H335" s="1" t="str">
        <f t="shared" si="286"/>
        <v>2021-08-03</v>
      </c>
      <c r="I335" s="1" t="str">
        <f t="shared" si="6"/>
        <v>2</v>
      </c>
      <c r="J335" s="1" t="str">
        <f t="shared" si="7"/>
        <v>Rejected All</v>
      </c>
      <c r="L335" s="1" t="str">
        <f>"46157"</f>
        <v>46157</v>
      </c>
      <c r="M335" s="1" t="str">
        <f>"47"</f>
        <v>47</v>
      </c>
      <c r="N335" s="1" t="str">
        <f>"containing descriptions of security risk group material or activity"</f>
        <v>containing descriptions of security risk group material or activity</v>
      </c>
    </row>
    <row r="336" ht="14.25" customHeight="1">
      <c r="A336" s="1" t="str">
        <f>"Cruel Hoax"</f>
        <v>Cruel Hoax</v>
      </c>
      <c r="B336" s="1" t="str">
        <f t="shared" si="282"/>
        <v>0</v>
      </c>
      <c r="C336" s="1" t="str">
        <f t="shared" si="283"/>
        <v>n/a</v>
      </c>
      <c r="D336" s="1" t="str">
        <f>"Henry Makow"</f>
        <v>Henry Makow</v>
      </c>
      <c r="E336" s="1" t="str">
        <f t="shared" si="284"/>
        <v>31</v>
      </c>
      <c r="F336" s="1" t="str">
        <f t="shared" si="285"/>
        <v>Book</v>
      </c>
      <c r="G336" s="1" t="str">
        <f>"45748"</f>
        <v>45748</v>
      </c>
      <c r="H336" s="1" t="str">
        <f t="shared" si="286"/>
        <v>2021-08-03</v>
      </c>
      <c r="I336" s="1" t="str">
        <f t="shared" si="6"/>
        <v>2</v>
      </c>
      <c r="J336" s="1" t="str">
        <f t="shared" si="7"/>
        <v>Rejected All</v>
      </c>
      <c r="L336" s="1" t="str">
        <f>"46167"</f>
        <v>46167</v>
      </c>
      <c r="M336" s="1" t="str">
        <f>"49"</f>
        <v>49</v>
      </c>
      <c r="N336" s="1" t="s">
        <v>0</v>
      </c>
    </row>
    <row r="337" ht="14.25" customHeight="1">
      <c r="A337" s="1" t="str">
        <f>"No Safeword"</f>
        <v>No Safeword</v>
      </c>
      <c r="B337" s="1" t="str">
        <f t="shared" si="282"/>
        <v>0</v>
      </c>
      <c r="C337" s="1" t="str">
        <f t="shared" si="283"/>
        <v>n/a</v>
      </c>
      <c r="D337" s="1" t="str">
        <f t="shared" ref="D337:D338" si="287">"Claire Thompson"</f>
        <v>Claire Thompson</v>
      </c>
      <c r="E337" s="1" t="str">
        <f t="shared" si="284"/>
        <v>31</v>
      </c>
      <c r="F337" s="1" t="str">
        <f t="shared" si="285"/>
        <v>Book</v>
      </c>
      <c r="G337" s="1" t="str">
        <f>"45764"</f>
        <v>45764</v>
      </c>
      <c r="H337" s="1" t="str">
        <f t="shared" si="286"/>
        <v>2021-08-03</v>
      </c>
      <c r="I337" s="1" t="str">
        <f t="shared" si="6"/>
        <v>2</v>
      </c>
      <c r="J337" s="1" t="str">
        <f t="shared" si="7"/>
        <v>Rejected All</v>
      </c>
      <c r="L337" s="1" t="str">
        <f>"46184"</f>
        <v>46184</v>
      </c>
      <c r="M337" s="1" t="str">
        <f t="shared" ref="M337:M338" si="288">"43"</f>
        <v>43</v>
      </c>
      <c r="N337" s="1" t="str">
        <f t="shared" ref="N337:N338" si="289">"containing written sexually explicit / sado-masochistic behavior"</f>
        <v>containing written sexually explicit / sado-masochistic behavior</v>
      </c>
    </row>
    <row r="338" ht="14.25" customHeight="1">
      <c r="A338" s="1" t="str">
        <f>"Dream Master"</f>
        <v>Dream Master</v>
      </c>
      <c r="B338" s="1" t="str">
        <f t="shared" si="282"/>
        <v>0</v>
      </c>
      <c r="C338" s="1" t="str">
        <f t="shared" si="283"/>
        <v>n/a</v>
      </c>
      <c r="D338" s="1" t="str">
        <f t="shared" si="287"/>
        <v>Claire Thompson</v>
      </c>
      <c r="E338" s="1" t="str">
        <f t="shared" si="284"/>
        <v>31</v>
      </c>
      <c r="F338" s="1" t="str">
        <f t="shared" si="285"/>
        <v>Book</v>
      </c>
      <c r="G338" s="1" t="str">
        <f>"45768"</f>
        <v>45768</v>
      </c>
      <c r="H338" s="1" t="str">
        <f t="shared" si="286"/>
        <v>2021-08-03</v>
      </c>
      <c r="I338" s="1" t="str">
        <f t="shared" si="6"/>
        <v>2</v>
      </c>
      <c r="J338" s="1" t="str">
        <f t="shared" si="7"/>
        <v>Rejected All</v>
      </c>
      <c r="L338" s="1" t="str">
        <f>"46188"</f>
        <v>46188</v>
      </c>
      <c r="M338" s="1" t="str">
        <f t="shared" si="288"/>
        <v>43</v>
      </c>
      <c r="N338" s="1" t="str">
        <f t="shared" si="289"/>
        <v>containing written sexually explicit / sado-masochistic behavior</v>
      </c>
    </row>
    <row r="339" ht="14.25" customHeight="1">
      <c r="A339" s="1" t="str">
        <f>"The Crow"</f>
        <v>The Crow</v>
      </c>
      <c r="B339" s="1" t="str">
        <f>"3596"</f>
        <v>3596</v>
      </c>
      <c r="C339" s="1" t="str">
        <f>"Special Edition"</f>
        <v>Special Edition</v>
      </c>
      <c r="D339" s="1" t="str">
        <f>"James O&amp;#39;Barr"</f>
        <v>James O&amp;#39;Barr</v>
      </c>
      <c r="E339" s="1" t="str">
        <f t="shared" si="284"/>
        <v>31</v>
      </c>
      <c r="F339" s="1" t="str">
        <f t="shared" si="285"/>
        <v>Book</v>
      </c>
      <c r="G339" s="1" t="str">
        <f>"45737"</f>
        <v>45737</v>
      </c>
      <c r="H339" s="1" t="str">
        <f t="shared" si="286"/>
        <v>2021-08-03</v>
      </c>
      <c r="I339" s="1" t="str">
        <f t="shared" si="6"/>
        <v>2</v>
      </c>
      <c r="J339" s="1" t="str">
        <f t="shared" si="7"/>
        <v>Rejected All</v>
      </c>
      <c r="L339" s="1" t="str">
        <f>"46156"</f>
        <v>46156</v>
      </c>
      <c r="M339" s="1" t="str">
        <f>"41"</f>
        <v>41</v>
      </c>
      <c r="N339" s="1" t="str">
        <f>"containing pictorially explicit sexual activity"</f>
        <v>containing pictorially explicit sexual activity</v>
      </c>
    </row>
    <row r="340" ht="14.25" customHeight="1">
      <c r="A340" s="1" t="str">
        <f>"Gorgeous &amp;amp; Gory"</f>
        <v>Gorgeous &amp;amp; Gory</v>
      </c>
      <c r="B340" s="1" t="str">
        <f>"10389"</f>
        <v>10389</v>
      </c>
      <c r="C340" s="1" t="str">
        <f>"The Zombie Pinup Collection"</f>
        <v>The Zombie Pinup Collection</v>
      </c>
      <c r="D340" s="1" t="str">
        <f>"Jessica Rajs"</f>
        <v>Jessica Rajs</v>
      </c>
      <c r="E340" s="1" t="str">
        <f t="shared" si="284"/>
        <v>31</v>
      </c>
      <c r="F340" s="1" t="str">
        <f t="shared" si="285"/>
        <v>Book</v>
      </c>
      <c r="G340" s="1" t="str">
        <f>"45759"</f>
        <v>45759</v>
      </c>
      <c r="H340" s="1" t="str">
        <f t="shared" si="286"/>
        <v>2021-08-03</v>
      </c>
      <c r="I340" s="1" t="str">
        <f t="shared" si="6"/>
        <v>2</v>
      </c>
      <c r="J340" s="1" t="str">
        <f t="shared" si="7"/>
        <v>Rejected All</v>
      </c>
      <c r="L340" s="1" t="str">
        <f>"46179"</f>
        <v>46179</v>
      </c>
      <c r="M340" s="1" t="str">
        <f t="shared" ref="M340:M341" si="290">"42"</f>
        <v>42</v>
      </c>
      <c r="N340" s="1" t="str">
        <f t="shared" ref="N340:N341" si="291">"containing pictorially explicit nudity"</f>
        <v>containing pictorially explicit nudity</v>
      </c>
    </row>
    <row r="341" ht="14.25" customHeight="1">
      <c r="A341" s="1" t="str">
        <f>"XotiX"</f>
        <v>XotiX</v>
      </c>
      <c r="B341" s="1" t="str">
        <f>"10383"</f>
        <v>10383</v>
      </c>
      <c r="C341" s="1" t="str">
        <f>"Issue #5 Cover Model Tiara"</f>
        <v>Issue #5 Cover Model Tiara</v>
      </c>
      <c r="E341" s="1" t="str">
        <f>"32"</f>
        <v>32</v>
      </c>
      <c r="F341" s="1" t="str">
        <f>"Magazine/Newspaper"</f>
        <v>Magazine/Newspaper</v>
      </c>
      <c r="G341" s="1" t="str">
        <f>"45749"</f>
        <v>45749</v>
      </c>
      <c r="H341" s="1" t="str">
        <f t="shared" si="286"/>
        <v>2021-08-03</v>
      </c>
      <c r="I341" s="1" t="str">
        <f t="shared" si="6"/>
        <v>2</v>
      </c>
      <c r="J341" s="1" t="str">
        <f t="shared" si="7"/>
        <v>Rejected All</v>
      </c>
      <c r="L341" s="1" t="str">
        <f>"46168"</f>
        <v>46168</v>
      </c>
      <c r="M341" s="1" t="str">
        <f t="shared" si="290"/>
        <v>42</v>
      </c>
      <c r="N341" s="1" t="str">
        <f t="shared" si="291"/>
        <v>containing pictorially explicit nudity</v>
      </c>
    </row>
    <row r="342" ht="14.25" customHeight="1">
      <c r="A342" s="1" t="str">
        <f>"Asian Martial Arts; Constructive Thoughts &amp;amp; Practical Applications"</f>
        <v>Asian Martial Arts; Constructive Thoughts &amp;amp; Practical Applications</v>
      </c>
      <c r="B342" s="1" t="str">
        <f t="shared" ref="B342:B343" si="292">"0"</f>
        <v>0</v>
      </c>
      <c r="C342" s="1" t="str">
        <f t="shared" ref="C342:C343" si="293">"n/a"</f>
        <v>n/a</v>
      </c>
      <c r="D342" s="1" t="str">
        <f>"Michael DeMarco"</f>
        <v>Michael DeMarco</v>
      </c>
      <c r="E342" s="1" t="str">
        <f t="shared" ref="E342:E345" si="294">"31"</f>
        <v>31</v>
      </c>
      <c r="F342" s="1" t="str">
        <f t="shared" ref="F342:F345" si="295">"Book"</f>
        <v>Book</v>
      </c>
      <c r="G342" s="1" t="str">
        <f>"45771"</f>
        <v>45771</v>
      </c>
      <c r="H342" s="1" t="str">
        <f t="shared" ref="H342:H344" si="296">"2021-08-17"</f>
        <v>2021-08-17</v>
      </c>
      <c r="I342" s="1" t="str">
        <f t="shared" si="6"/>
        <v>2</v>
      </c>
      <c r="J342" s="1" t="str">
        <f t="shared" si="7"/>
        <v>Rejected All</v>
      </c>
      <c r="L342" s="1" t="str">
        <f>"46191"</f>
        <v>46191</v>
      </c>
      <c r="M342" s="1" t="str">
        <f>"40"</f>
        <v>40</v>
      </c>
      <c r="N342" s="1" t="str">
        <f>"describing fighting techniques"</f>
        <v>describing fighting techniques</v>
      </c>
    </row>
    <row r="343" ht="14.25" customHeight="1">
      <c r="A343" s="1" t="str">
        <f>"Culture in Nazi Germany"</f>
        <v>Culture in Nazi Germany</v>
      </c>
      <c r="B343" s="1" t="str">
        <f t="shared" si="292"/>
        <v>0</v>
      </c>
      <c r="C343" s="1" t="str">
        <f t="shared" si="293"/>
        <v>n/a</v>
      </c>
      <c r="D343" s="1" t="str">
        <f>"Michael He. Kater"</f>
        <v>Michael He. Kater</v>
      </c>
      <c r="E343" s="1" t="str">
        <f t="shared" si="294"/>
        <v>31</v>
      </c>
      <c r="F343" s="1" t="str">
        <f t="shared" si="295"/>
        <v>Book</v>
      </c>
      <c r="G343" s="1" t="str">
        <f>"45809"</f>
        <v>45809</v>
      </c>
      <c r="H343" s="1" t="str">
        <f t="shared" si="296"/>
        <v>2021-08-17</v>
      </c>
      <c r="I343" s="1" t="str">
        <f t="shared" si="6"/>
        <v>2</v>
      </c>
      <c r="J343" s="1" t="str">
        <f t="shared" si="7"/>
        <v>Rejected All</v>
      </c>
      <c r="L343" s="1" t="str">
        <f>"46233"</f>
        <v>46233</v>
      </c>
      <c r="M343" s="1" t="str">
        <f>"39"</f>
        <v>39</v>
      </c>
      <c r="N343" s="1" t="str">
        <f>"being detrimental to security for the following reason:"</f>
        <v>being detrimental to security for the following reason:</v>
      </c>
    </row>
    <row r="344" ht="14.25" customHeight="1">
      <c r="A344" s="1" t="str">
        <f>"Chica Erotica"</f>
        <v>Chica Erotica</v>
      </c>
      <c r="B344" s="1" t="str">
        <f>"4164"</f>
        <v>4164</v>
      </c>
      <c r="C344" s="1" t="str">
        <f>"Vol. 1"</f>
        <v>Vol. 1</v>
      </c>
      <c r="D344" s="1" t="str">
        <f>"Jordi Bernet"</f>
        <v>Jordi Bernet</v>
      </c>
      <c r="E344" s="1" t="str">
        <f t="shared" si="294"/>
        <v>31</v>
      </c>
      <c r="F344" s="1" t="str">
        <f t="shared" si="295"/>
        <v>Book</v>
      </c>
      <c r="G344" s="1" t="str">
        <f>"45773"</f>
        <v>45773</v>
      </c>
      <c r="H344" s="1" t="str">
        <f t="shared" si="296"/>
        <v>2021-08-17</v>
      </c>
      <c r="I344" s="1" t="str">
        <f t="shared" si="6"/>
        <v>2</v>
      </c>
      <c r="J344" s="1" t="str">
        <f t="shared" si="7"/>
        <v>Rejected All</v>
      </c>
      <c r="L344" s="1" t="str">
        <f>"46193"</f>
        <v>46193</v>
      </c>
      <c r="M344" s="1" t="str">
        <f>"42"</f>
        <v>42</v>
      </c>
      <c r="N344" s="1" t="str">
        <f>"containing pictorially explicit nudity"</f>
        <v>containing pictorially explicit nudity</v>
      </c>
    </row>
    <row r="345" ht="14.25" customHeight="1">
      <c r="A345" s="1" t="str">
        <f>"Sham"</f>
        <v>Sham</v>
      </c>
      <c r="B345" s="1" t="str">
        <f>"0"</f>
        <v>0</v>
      </c>
      <c r="C345" s="1" t="str">
        <f>"n/a"</f>
        <v>n/a</v>
      </c>
      <c r="D345" s="1" t="str">
        <f>"Brent McCall"</f>
        <v>Brent McCall</v>
      </c>
      <c r="E345" s="1" t="str">
        <f t="shared" si="294"/>
        <v>31</v>
      </c>
      <c r="F345" s="1" t="str">
        <f t="shared" si="295"/>
        <v>Book</v>
      </c>
      <c r="G345" s="1" t="str">
        <f>"45838"</f>
        <v>45838</v>
      </c>
      <c r="H345" s="1" t="str">
        <f t="shared" ref="H345:H347" si="297">"2021-09-07"</f>
        <v>2021-09-07</v>
      </c>
      <c r="I345" s="1" t="str">
        <f t="shared" si="6"/>
        <v>2</v>
      </c>
      <c r="J345" s="1" t="str">
        <f t="shared" si="7"/>
        <v>Rejected All</v>
      </c>
      <c r="L345" s="1" t="str">
        <f>"46261"</f>
        <v>46261</v>
      </c>
      <c r="M345" s="1" t="str">
        <f>"39"</f>
        <v>39</v>
      </c>
      <c r="N345" s="1" t="str">
        <f>"being detrimental to security for the following reason:"</f>
        <v>being detrimental to security for the following reason:</v>
      </c>
    </row>
    <row r="346" ht="14.25" customHeight="1">
      <c r="A346" s="1" t="str">
        <f t="shared" ref="A346:A347" si="298">"Fox Magazine"</f>
        <v>Fox Magazine</v>
      </c>
      <c r="B346" s="1" t="str">
        <f>"10421"</f>
        <v>10421</v>
      </c>
      <c r="C346" s="1" t="str">
        <f>"April 2012 #87"</f>
        <v>April 2012 #87</v>
      </c>
      <c r="E346" s="1" t="str">
        <f t="shared" ref="E346:E348" si="299">"32"</f>
        <v>32</v>
      </c>
      <c r="F346" s="1" t="str">
        <f t="shared" ref="F346:F348" si="300">"Magazine/Newspaper"</f>
        <v>Magazine/Newspaper</v>
      </c>
      <c r="G346" s="1" t="str">
        <f>"45842"</f>
        <v>45842</v>
      </c>
      <c r="H346" s="1" t="str">
        <f t="shared" si="297"/>
        <v>2021-09-07</v>
      </c>
      <c r="I346" s="1" t="str">
        <f t="shared" si="6"/>
        <v>2</v>
      </c>
      <c r="J346" s="1" t="str">
        <f t="shared" si="7"/>
        <v>Rejected All</v>
      </c>
      <c r="L346" s="1" t="str">
        <f>"46265"</f>
        <v>46265</v>
      </c>
      <c r="M346" s="1" t="str">
        <f t="shared" ref="M346:M350" si="301">"42"</f>
        <v>42</v>
      </c>
      <c r="N346" s="1" t="str">
        <f t="shared" ref="N346:N350" si="302">"containing pictorially explicit nudity"</f>
        <v>containing pictorially explicit nudity</v>
      </c>
    </row>
    <row r="347" ht="14.25" customHeight="1">
      <c r="A347" s="1" t="str">
        <f t="shared" si="298"/>
        <v>Fox Magazine</v>
      </c>
      <c r="B347" s="1" t="str">
        <f>"1765"</f>
        <v>1765</v>
      </c>
      <c r="C347" s="1" t="str">
        <f>"Holiday 2004"</f>
        <v>Holiday 2004</v>
      </c>
      <c r="E347" s="1" t="str">
        <f t="shared" si="299"/>
        <v>32</v>
      </c>
      <c r="F347" s="1" t="str">
        <f t="shared" si="300"/>
        <v>Magazine/Newspaper</v>
      </c>
      <c r="G347" s="1" t="str">
        <f>"45841"</f>
        <v>45841</v>
      </c>
      <c r="H347" s="1" t="str">
        <f t="shared" si="297"/>
        <v>2021-09-07</v>
      </c>
      <c r="I347" s="1" t="str">
        <f t="shared" si="6"/>
        <v>2</v>
      </c>
      <c r="J347" s="1" t="str">
        <f t="shared" si="7"/>
        <v>Rejected All</v>
      </c>
      <c r="L347" s="1" t="str">
        <f>"46264"</f>
        <v>46264</v>
      </c>
      <c r="M347" s="1" t="str">
        <f t="shared" si="301"/>
        <v>42</v>
      </c>
      <c r="N347" s="1" t="str">
        <f t="shared" si="302"/>
        <v>containing pictorially explicit nudity</v>
      </c>
    </row>
    <row r="348" ht="14.25" customHeight="1">
      <c r="A348" s="1" t="str">
        <f>"Juxtapoz"</f>
        <v>Juxtapoz</v>
      </c>
      <c r="B348" s="1" t="str">
        <f>"10430"</f>
        <v>10430</v>
      </c>
      <c r="C348" s="1" t="str">
        <f>"Summer 2021 #218"</f>
        <v>Summer 2021 #218</v>
      </c>
      <c r="E348" s="1" t="str">
        <f t="shared" si="299"/>
        <v>32</v>
      </c>
      <c r="F348" s="1" t="str">
        <f t="shared" si="300"/>
        <v>Magazine/Newspaper</v>
      </c>
      <c r="G348" s="1" t="str">
        <f>"45877"</f>
        <v>45877</v>
      </c>
      <c r="H348" s="1" t="str">
        <f>"2021-09-21"</f>
        <v>2021-09-21</v>
      </c>
      <c r="I348" s="1" t="str">
        <f t="shared" si="6"/>
        <v>2</v>
      </c>
      <c r="J348" s="1" t="str">
        <f t="shared" si="7"/>
        <v>Rejected All</v>
      </c>
      <c r="L348" s="1" t="str">
        <f>"46301"</f>
        <v>46301</v>
      </c>
      <c r="M348" s="1" t="str">
        <f t="shared" si="301"/>
        <v>42</v>
      </c>
      <c r="N348" s="1" t="str">
        <f t="shared" si="302"/>
        <v>containing pictorially explicit nudity</v>
      </c>
    </row>
    <row r="349" ht="14.25" customHeight="1">
      <c r="A349" s="1" t="str">
        <f>"To Love RU"</f>
        <v>To Love RU</v>
      </c>
      <c r="B349" s="1" t="str">
        <f>"10434"</f>
        <v>10434</v>
      </c>
      <c r="C349" s="1" t="str">
        <f>"Volume 3-4"</f>
        <v>Volume 3-4</v>
      </c>
      <c r="D349" s="1" t="str">
        <f>"Saki Hasemi "</f>
        <v>Saki Hasemi </v>
      </c>
      <c r="E349" s="1" t="str">
        <f t="shared" ref="E349:E371" si="303">"31"</f>
        <v>31</v>
      </c>
      <c r="F349" s="1" t="str">
        <f t="shared" ref="F349:F371" si="304">"Book"</f>
        <v>Book</v>
      </c>
      <c r="G349" s="1" t="str">
        <f>"45888"</f>
        <v>45888</v>
      </c>
      <c r="H349" s="1" t="str">
        <f>"2021-10-05"</f>
        <v>2021-10-05</v>
      </c>
      <c r="I349" s="1" t="str">
        <f t="shared" si="6"/>
        <v>2</v>
      </c>
      <c r="J349" s="1" t="str">
        <f t="shared" si="7"/>
        <v>Rejected All</v>
      </c>
      <c r="L349" s="1" t="str">
        <f>"46314"</f>
        <v>46314</v>
      </c>
      <c r="M349" s="1" t="str">
        <f t="shared" si="301"/>
        <v>42</v>
      </c>
      <c r="N349" s="1" t="str">
        <f t="shared" si="302"/>
        <v>containing pictorially explicit nudity</v>
      </c>
    </row>
    <row r="350" ht="14.25" customHeight="1">
      <c r="A350" s="1" t="str">
        <f>"Pencil and Ink"</f>
        <v>Pencil and Ink</v>
      </c>
      <c r="B350" s="1" t="str">
        <f t="shared" ref="B350:B351" si="305">"0"</f>
        <v>0</v>
      </c>
      <c r="C350" s="1" t="str">
        <f t="shared" ref="C350:C351" si="306">"n/a"</f>
        <v>n/a</v>
      </c>
      <c r="D350" s="1" t="str">
        <f>"Frank Cho"</f>
        <v>Frank Cho</v>
      </c>
      <c r="E350" s="1" t="str">
        <f t="shared" si="303"/>
        <v>31</v>
      </c>
      <c r="F350" s="1" t="str">
        <f t="shared" si="304"/>
        <v>Book</v>
      </c>
      <c r="G350" s="1" t="str">
        <f>"45942"</f>
        <v>45942</v>
      </c>
      <c r="H350" s="1" t="str">
        <f>"2021-11-16"</f>
        <v>2021-11-16</v>
      </c>
      <c r="I350" s="1" t="str">
        <f t="shared" si="6"/>
        <v>2</v>
      </c>
      <c r="J350" s="1" t="str">
        <f t="shared" si="7"/>
        <v>Rejected All</v>
      </c>
      <c r="L350" s="1" t="str">
        <f>"46375"</f>
        <v>46375</v>
      </c>
      <c r="M350" s="1" t="str">
        <f t="shared" si="301"/>
        <v>42</v>
      </c>
      <c r="N350" s="1" t="str">
        <f t="shared" si="302"/>
        <v>containing pictorially explicit nudity</v>
      </c>
    </row>
    <row r="351" ht="14.25" customHeight="1">
      <c r="A351" s="1" t="str">
        <f>"The 36 Deadly Bubishi Points"</f>
        <v>The 36 Deadly Bubishi Points</v>
      </c>
      <c r="B351" s="1" t="str">
        <f t="shared" si="305"/>
        <v>0</v>
      </c>
      <c r="C351" s="1" t="str">
        <f t="shared" si="306"/>
        <v>n/a</v>
      </c>
      <c r="D351" s="1" t="str">
        <f>"Rand Cardwell"</f>
        <v>Rand Cardwell</v>
      </c>
      <c r="E351" s="1" t="str">
        <f t="shared" si="303"/>
        <v>31</v>
      </c>
      <c r="F351" s="1" t="str">
        <f t="shared" si="304"/>
        <v>Book</v>
      </c>
      <c r="G351" s="1" t="str">
        <f>"45902"</f>
        <v>45902</v>
      </c>
      <c r="H351" s="1" t="str">
        <f>"2021-12-07"</f>
        <v>2021-12-07</v>
      </c>
      <c r="I351" s="1" t="str">
        <f t="shared" si="6"/>
        <v>2</v>
      </c>
      <c r="J351" s="1" t="str">
        <f t="shared" si="7"/>
        <v>Rejected All</v>
      </c>
      <c r="L351" s="1" t="str">
        <f>"46338"</f>
        <v>46338</v>
      </c>
      <c r="M351" s="1" t="str">
        <f>"9"</f>
        <v>9</v>
      </c>
      <c r="N351" s="1" t="str">
        <f>"describing or encouraging physical violence or group disruption"</f>
        <v>describing or encouraging physical violence or group disruption</v>
      </c>
    </row>
    <row r="352" ht="14.25" customHeight="1">
      <c r="A352" s="1" t="str">
        <f>"High School DxD #2"</f>
        <v>High School DxD #2</v>
      </c>
      <c r="B352" s="1" t="str">
        <f>"39"</f>
        <v>39</v>
      </c>
      <c r="C352" s="1" t="str">
        <f>"# 2"</f>
        <v># 2</v>
      </c>
      <c r="D352" s="1" t="str">
        <f t="shared" ref="D352:D354" si="307">"Hiroji Mishima"</f>
        <v>Hiroji Mishima</v>
      </c>
      <c r="E352" s="1" t="str">
        <f t="shared" si="303"/>
        <v>31</v>
      </c>
      <c r="F352" s="1" t="str">
        <f t="shared" si="304"/>
        <v>Book</v>
      </c>
      <c r="G352" s="1" t="str">
        <f>"45908"</f>
        <v>45908</v>
      </c>
      <c r="H352" s="1" t="str">
        <f t="shared" ref="H352:H366" si="308">"2022-01-04"</f>
        <v>2022-01-04</v>
      </c>
      <c r="I352" s="1" t="str">
        <f t="shared" si="6"/>
        <v>2</v>
      </c>
      <c r="J352" s="1" t="str">
        <f t="shared" si="7"/>
        <v>Rejected All</v>
      </c>
      <c r="L352" s="1" t="str">
        <f>"46346"</f>
        <v>46346</v>
      </c>
      <c r="M352" s="1" t="str">
        <f t="shared" ref="M352:M354" si="309">"42"</f>
        <v>42</v>
      </c>
      <c r="N352" s="1" t="str">
        <f t="shared" ref="N352:N354" si="310">"containing pictorially explicit nudity"</f>
        <v>containing pictorially explicit nudity</v>
      </c>
    </row>
    <row r="353" ht="14.25" customHeight="1">
      <c r="A353" s="1" t="str">
        <f>"High School DxD #4"</f>
        <v>High School DxD #4</v>
      </c>
      <c r="B353" s="1" t="str">
        <f>"431"</f>
        <v>431</v>
      </c>
      <c r="C353" s="1" t="str">
        <f>"#4"</f>
        <v>#4</v>
      </c>
      <c r="D353" s="1" t="str">
        <f t="shared" si="307"/>
        <v>Hiroji Mishima</v>
      </c>
      <c r="E353" s="1" t="str">
        <f t="shared" si="303"/>
        <v>31</v>
      </c>
      <c r="F353" s="1" t="str">
        <f t="shared" si="304"/>
        <v>Book</v>
      </c>
      <c r="G353" s="1" t="str">
        <f>"45909"</f>
        <v>45909</v>
      </c>
      <c r="H353" s="1" t="str">
        <f t="shared" si="308"/>
        <v>2022-01-04</v>
      </c>
      <c r="I353" s="1" t="str">
        <f t="shared" si="6"/>
        <v>2</v>
      </c>
      <c r="J353" s="1" t="str">
        <f t="shared" si="7"/>
        <v>Rejected All</v>
      </c>
      <c r="L353" s="1" t="str">
        <f>"46347"</f>
        <v>46347</v>
      </c>
      <c r="M353" s="1" t="str">
        <f t="shared" si="309"/>
        <v>42</v>
      </c>
      <c r="N353" s="1" t="str">
        <f t="shared" si="310"/>
        <v>containing pictorially explicit nudity</v>
      </c>
    </row>
    <row r="354" ht="14.25" customHeight="1">
      <c r="A354" s="1" t="str">
        <f>"Highschool DxD #5"</f>
        <v>Highschool DxD #5</v>
      </c>
      <c r="B354" s="1" t="str">
        <f>"462"</f>
        <v>462</v>
      </c>
      <c r="C354" s="1" t="str">
        <f>"#5"</f>
        <v>#5</v>
      </c>
      <c r="D354" s="1" t="str">
        <f t="shared" si="307"/>
        <v>Hiroji Mishima</v>
      </c>
      <c r="E354" s="1" t="str">
        <f t="shared" si="303"/>
        <v>31</v>
      </c>
      <c r="F354" s="1" t="str">
        <f t="shared" si="304"/>
        <v>Book</v>
      </c>
      <c r="G354" s="1" t="str">
        <f>"45906"</f>
        <v>45906</v>
      </c>
      <c r="H354" s="1" t="str">
        <f t="shared" si="308"/>
        <v>2022-01-04</v>
      </c>
      <c r="I354" s="1" t="str">
        <f t="shared" si="6"/>
        <v>2</v>
      </c>
      <c r="J354" s="1" t="str">
        <f t="shared" si="7"/>
        <v>Rejected All</v>
      </c>
      <c r="L354" s="1" t="str">
        <f>"46342"</f>
        <v>46342</v>
      </c>
      <c r="M354" s="1" t="str">
        <f t="shared" si="309"/>
        <v>42</v>
      </c>
      <c r="N354" s="1" t="str">
        <f t="shared" si="310"/>
        <v>containing pictorially explicit nudity</v>
      </c>
    </row>
    <row r="355" ht="14.25" customHeight="1">
      <c r="A355" s="1" t="str">
        <f>"Magna"</f>
        <v>Magna</v>
      </c>
      <c r="B355" s="1" t="str">
        <f>"10506"</f>
        <v>10506</v>
      </c>
      <c r="C355" s="1" t="str">
        <f>"Magna Thames "</f>
        <v>Magna Thames </v>
      </c>
      <c r="D355" s="1" t="str">
        <f>"Nicole Rousmaniere"</f>
        <v>Nicole Rousmaniere</v>
      </c>
      <c r="E355" s="1" t="str">
        <f t="shared" si="303"/>
        <v>31</v>
      </c>
      <c r="F355" s="1" t="str">
        <f t="shared" si="304"/>
        <v>Book</v>
      </c>
      <c r="G355" s="1" t="str">
        <f>"46019"</f>
        <v>46019</v>
      </c>
      <c r="H355" s="1" t="str">
        <f t="shared" si="308"/>
        <v>2022-01-04</v>
      </c>
      <c r="I355" s="1" t="str">
        <f t="shared" si="6"/>
        <v>2</v>
      </c>
      <c r="J355" s="1" t="str">
        <f t="shared" si="7"/>
        <v>Rejected All</v>
      </c>
      <c r="L355" s="1" t="str">
        <f>"46452"</f>
        <v>46452</v>
      </c>
      <c r="M355" s="1" t="str">
        <f>"43"</f>
        <v>43</v>
      </c>
      <c r="N355" s="1" t="str">
        <f>"containing written sexually explicit / sado-masochistic behavior"</f>
        <v>containing written sexually explicit / sado-masochistic behavior</v>
      </c>
    </row>
    <row r="356" ht="14.25" customHeight="1">
      <c r="A356" s="1" t="str">
        <f>"Cryptograms Puzzle Book for Adults"</f>
        <v>Cryptograms Puzzle Book for Adults</v>
      </c>
      <c r="B356" s="1" t="str">
        <f t="shared" ref="B356:B369" si="311">"0"</f>
        <v>0</v>
      </c>
      <c r="C356" s="1" t="str">
        <f t="shared" ref="C356:C369" si="312">"n/a"</f>
        <v>n/a</v>
      </c>
      <c r="D356" s="1" t="str">
        <f>"Stephen Ellis "</f>
        <v>Stephen Ellis </v>
      </c>
      <c r="E356" s="1" t="str">
        <f t="shared" si="303"/>
        <v>31</v>
      </c>
      <c r="F356" s="1" t="str">
        <f t="shared" si="304"/>
        <v>Book</v>
      </c>
      <c r="G356" s="1" t="str">
        <f>"46051"</f>
        <v>46051</v>
      </c>
      <c r="H356" s="1" t="str">
        <f t="shared" si="308"/>
        <v>2022-01-04</v>
      </c>
      <c r="I356" s="1" t="str">
        <f t="shared" si="6"/>
        <v>2</v>
      </c>
      <c r="J356" s="1" t="str">
        <f t="shared" si="7"/>
        <v>Rejected All</v>
      </c>
      <c r="L356" s="1" t="str">
        <f>"46483"</f>
        <v>46483</v>
      </c>
      <c r="M356" s="1" t="str">
        <f>"8"</f>
        <v>8</v>
      </c>
      <c r="N356" s="1" t="str">
        <f>"containing writings in code"</f>
        <v>containing writings in code</v>
      </c>
    </row>
    <row r="357" ht="14.25" customHeight="1">
      <c r="A357" s="1" t="str">
        <f>"Dirty Korean "</f>
        <v>Dirty Korean </v>
      </c>
      <c r="B357" s="1" t="str">
        <f t="shared" si="311"/>
        <v>0</v>
      </c>
      <c r="C357" s="1" t="str">
        <f t="shared" si="312"/>
        <v>n/a</v>
      </c>
      <c r="D357" s="1" t="str">
        <f>"Haewon Geebi Baek"</f>
        <v>Haewon Geebi Baek</v>
      </c>
      <c r="E357" s="1" t="str">
        <f t="shared" si="303"/>
        <v>31</v>
      </c>
      <c r="F357" s="1" t="str">
        <f t="shared" si="304"/>
        <v>Book</v>
      </c>
      <c r="G357" s="1" t="str">
        <f>"46057"</f>
        <v>46057</v>
      </c>
      <c r="H357" s="1" t="str">
        <f t="shared" si="308"/>
        <v>2022-01-04</v>
      </c>
      <c r="I357" s="1" t="str">
        <f t="shared" si="6"/>
        <v>2</v>
      </c>
      <c r="J357" s="1" t="str">
        <f t="shared" si="7"/>
        <v>Rejected All</v>
      </c>
      <c r="L357" s="1" t="str">
        <f>"46489"</f>
        <v>46489</v>
      </c>
      <c r="M357" s="1" t="str">
        <f>"49"</f>
        <v>49</v>
      </c>
      <c r="N357" s="1" t="s">
        <v>0</v>
      </c>
    </row>
    <row r="358" ht="14.25" customHeight="1">
      <c r="A358" s="1" t="str">
        <f>"Interloper: A Story of Self-Help for Sexually Assaulted Men "</f>
        <v>Interloper: A Story of Self-Help for Sexually Assaulted Men </v>
      </c>
      <c r="B358" s="1" t="str">
        <f t="shared" si="311"/>
        <v>0</v>
      </c>
      <c r="C358" s="1" t="str">
        <f t="shared" si="312"/>
        <v>n/a</v>
      </c>
      <c r="D358" s="1" t="str">
        <f>"Nicholas Dean "</f>
        <v>Nicholas Dean </v>
      </c>
      <c r="E358" s="1" t="str">
        <f t="shared" si="303"/>
        <v>31</v>
      </c>
      <c r="F358" s="1" t="str">
        <f t="shared" si="304"/>
        <v>Book</v>
      </c>
      <c r="G358" s="1" t="str">
        <f>"46059"</f>
        <v>46059</v>
      </c>
      <c r="H358" s="1" t="str">
        <f t="shared" si="308"/>
        <v>2022-01-04</v>
      </c>
      <c r="I358" s="1" t="str">
        <f t="shared" si="6"/>
        <v>2</v>
      </c>
      <c r="J358" s="1" t="str">
        <f t="shared" si="7"/>
        <v>Rejected All</v>
      </c>
      <c r="L358" s="1" t="str">
        <f>"46491"</f>
        <v>46491</v>
      </c>
      <c r="M358" s="1" t="str">
        <f>"46"</f>
        <v>46</v>
      </c>
      <c r="N358" s="1" t="str">
        <f>"containing written sexually explicit material involving the use of force or non-consent"</f>
        <v>containing written sexually explicit material involving the use of force or non-consent</v>
      </c>
    </row>
    <row r="359" ht="14.25" customHeight="1">
      <c r="A359" s="1" t="str">
        <f>"Manhood: The Bare Reality"</f>
        <v>Manhood: The Bare Reality</v>
      </c>
      <c r="B359" s="1" t="str">
        <f t="shared" si="311"/>
        <v>0</v>
      </c>
      <c r="C359" s="1" t="str">
        <f t="shared" si="312"/>
        <v>n/a</v>
      </c>
      <c r="D359" s="1" t="str">
        <f>"Laura Dodsworth"</f>
        <v>Laura Dodsworth</v>
      </c>
      <c r="E359" s="1" t="str">
        <f t="shared" si="303"/>
        <v>31</v>
      </c>
      <c r="F359" s="1" t="str">
        <f t="shared" si="304"/>
        <v>Book</v>
      </c>
      <c r="G359" s="1" t="str">
        <f>"46068"</f>
        <v>46068</v>
      </c>
      <c r="H359" s="1" t="str">
        <f t="shared" si="308"/>
        <v>2022-01-04</v>
      </c>
      <c r="I359" s="1" t="str">
        <f t="shared" si="6"/>
        <v>2</v>
      </c>
      <c r="J359" s="1" t="str">
        <f t="shared" si="7"/>
        <v>Rejected All</v>
      </c>
      <c r="L359" s="1" t="str">
        <f>"46502"</f>
        <v>46502</v>
      </c>
      <c r="M359" s="1" t="str">
        <f>"42"</f>
        <v>42</v>
      </c>
      <c r="N359" s="1" t="str">
        <f>"containing pictorially explicit nudity"</f>
        <v>containing pictorially explicit nudity</v>
      </c>
    </row>
    <row r="360" ht="14.25" customHeight="1">
      <c r="A360" s="1" t="str">
        <f>"Black Humour "</f>
        <v>Black Humour </v>
      </c>
      <c r="B360" s="1" t="str">
        <f t="shared" si="311"/>
        <v>0</v>
      </c>
      <c r="C360" s="1" t="str">
        <f t="shared" si="312"/>
        <v>n/a</v>
      </c>
      <c r="D360" s="1" t="str">
        <f>"Adam Smith "</f>
        <v>Adam Smith </v>
      </c>
      <c r="E360" s="1" t="str">
        <f t="shared" si="303"/>
        <v>31</v>
      </c>
      <c r="F360" s="1" t="str">
        <f t="shared" si="304"/>
        <v>Book</v>
      </c>
      <c r="G360" s="1" t="str">
        <f>"46074"</f>
        <v>46074</v>
      </c>
      <c r="H360" s="1" t="str">
        <f t="shared" si="308"/>
        <v>2022-01-04</v>
      </c>
      <c r="I360" s="1" t="str">
        <f t="shared" si="6"/>
        <v>2</v>
      </c>
      <c r="J360" s="1" t="str">
        <f t="shared" si="7"/>
        <v>Rejected All</v>
      </c>
      <c r="L360" s="1" t="str">
        <f>"46511"</f>
        <v>46511</v>
      </c>
      <c r="M360" s="1" t="str">
        <f>"45"</f>
        <v>45</v>
      </c>
      <c r="N360" s="1" t="str">
        <f>"containing written sexually explicit material involving minors"</f>
        <v>containing written sexually explicit material involving minors</v>
      </c>
    </row>
    <row r="361" ht="14.25" customHeight="1">
      <c r="A361" s="1" t="str">
        <f>"Hell in the Heartland"</f>
        <v>Hell in the Heartland</v>
      </c>
      <c r="B361" s="1" t="str">
        <f t="shared" si="311"/>
        <v>0</v>
      </c>
      <c r="C361" s="1" t="str">
        <f t="shared" si="312"/>
        <v>n/a</v>
      </c>
      <c r="D361" s="1" t="str">
        <f>"Jax Miller"</f>
        <v>Jax Miller</v>
      </c>
      <c r="E361" s="1" t="str">
        <f t="shared" si="303"/>
        <v>31</v>
      </c>
      <c r="F361" s="1" t="str">
        <f t="shared" si="304"/>
        <v>Book</v>
      </c>
      <c r="G361" s="1" t="str">
        <f>"46103"</f>
        <v>46103</v>
      </c>
      <c r="H361" s="1" t="str">
        <f t="shared" si="308"/>
        <v>2022-01-04</v>
      </c>
      <c r="I361" s="1" t="str">
        <f t="shared" si="6"/>
        <v>2</v>
      </c>
      <c r="J361" s="1" t="str">
        <f t="shared" si="7"/>
        <v>Rejected All</v>
      </c>
      <c r="L361" s="1" t="str">
        <f>"46541"</f>
        <v>46541</v>
      </c>
      <c r="M361" s="1" t="str">
        <f>"7"</f>
        <v>7</v>
      </c>
      <c r="N361" s="1" t="str">
        <f>"describing procedures to brew alcohol or manufacture drugs"</f>
        <v>describing procedures to brew alcohol or manufacture drugs</v>
      </c>
    </row>
    <row r="362" ht="14.25" customHeight="1">
      <c r="A362" s="1" t="str">
        <f>"Serial Killer"</f>
        <v>Serial Killer</v>
      </c>
      <c r="B362" s="1" t="str">
        <f t="shared" si="311"/>
        <v>0</v>
      </c>
      <c r="C362" s="1" t="str">
        <f t="shared" si="312"/>
        <v>n/a</v>
      </c>
      <c r="D362" s="1" t="str">
        <f>"Al Cimino"</f>
        <v>Al Cimino</v>
      </c>
      <c r="E362" s="1" t="str">
        <f t="shared" si="303"/>
        <v>31</v>
      </c>
      <c r="F362" s="1" t="str">
        <f t="shared" si="304"/>
        <v>Book</v>
      </c>
      <c r="G362" s="1" t="str">
        <f>"46107"</f>
        <v>46107</v>
      </c>
      <c r="H362" s="1" t="str">
        <f t="shared" si="308"/>
        <v>2022-01-04</v>
      </c>
      <c r="I362" s="1" t="str">
        <f t="shared" si="6"/>
        <v>2</v>
      </c>
      <c r="J362" s="1" t="str">
        <f t="shared" si="7"/>
        <v>Rejected All</v>
      </c>
      <c r="L362" s="1" t="str">
        <f>"46545"</f>
        <v>46545</v>
      </c>
      <c r="M362" s="1" t="str">
        <f t="shared" ref="M362:M363" si="313">"41"</f>
        <v>41</v>
      </c>
      <c r="N362" s="1" t="str">
        <f t="shared" ref="N362:N363" si="314">"containing pictorially explicit sexual activity"</f>
        <v>containing pictorially explicit sexual activity</v>
      </c>
    </row>
    <row r="363" ht="14.25" customHeight="1">
      <c r="A363" s="1" t="str">
        <f>"Press Here: Sensual Massage for Beginners "</f>
        <v>Press Here: Sensual Massage for Beginners </v>
      </c>
      <c r="B363" s="1" t="str">
        <f t="shared" si="311"/>
        <v>0</v>
      </c>
      <c r="C363" s="1" t="str">
        <f t="shared" si="312"/>
        <v>n/a</v>
      </c>
      <c r="D363" s="1" t="str">
        <f>"Sydney Price "</f>
        <v>Sydney Price </v>
      </c>
      <c r="E363" s="1" t="str">
        <f t="shared" si="303"/>
        <v>31</v>
      </c>
      <c r="F363" s="1" t="str">
        <f t="shared" si="304"/>
        <v>Book</v>
      </c>
      <c r="G363" s="1" t="str">
        <f>"46112"</f>
        <v>46112</v>
      </c>
      <c r="H363" s="1" t="str">
        <f t="shared" si="308"/>
        <v>2022-01-04</v>
      </c>
      <c r="I363" s="1" t="str">
        <f t="shared" si="6"/>
        <v>2</v>
      </c>
      <c r="J363" s="1" t="str">
        <f t="shared" si="7"/>
        <v>Rejected All</v>
      </c>
      <c r="L363" s="1" t="str">
        <f>"46550"</f>
        <v>46550</v>
      </c>
      <c r="M363" s="1" t="str">
        <f t="shared" si="313"/>
        <v>41</v>
      </c>
      <c r="N363" s="1" t="str">
        <f t="shared" si="314"/>
        <v>containing pictorially explicit sexual activity</v>
      </c>
    </row>
    <row r="364" ht="14.25" customHeight="1">
      <c r="A364" s="1" t="s">
        <v>15</v>
      </c>
      <c r="B364" s="1" t="str">
        <f t="shared" si="311"/>
        <v>0</v>
      </c>
      <c r="C364" s="1" t="str">
        <f t="shared" si="312"/>
        <v>n/a</v>
      </c>
      <c r="D364" s="1" t="str">
        <f>"Jim Algie"</f>
        <v>Jim Algie</v>
      </c>
      <c r="E364" s="1" t="str">
        <f t="shared" si="303"/>
        <v>31</v>
      </c>
      <c r="F364" s="1" t="str">
        <f t="shared" si="304"/>
        <v>Book</v>
      </c>
      <c r="G364" s="1" t="str">
        <f>"46116"</f>
        <v>46116</v>
      </c>
      <c r="H364" s="1" t="str">
        <f t="shared" si="308"/>
        <v>2022-01-04</v>
      </c>
      <c r="I364" s="1" t="str">
        <f t="shared" si="6"/>
        <v>2</v>
      </c>
      <c r="J364" s="1" t="str">
        <f t="shared" si="7"/>
        <v>Rejected All</v>
      </c>
      <c r="L364" s="1" t="str">
        <f>"46554"</f>
        <v>46554</v>
      </c>
      <c r="M364" s="1" t="str">
        <f>"45"</f>
        <v>45</v>
      </c>
      <c r="N364" s="1" t="str">
        <f>"containing written sexually explicit material involving minors"</f>
        <v>containing written sexually explicit material involving minors</v>
      </c>
    </row>
    <row r="365" ht="14.25" customHeight="1">
      <c r="A365" s="1" t="str">
        <f>"The Model Inmate "</f>
        <v>The Model Inmate </v>
      </c>
      <c r="B365" s="1" t="str">
        <f t="shared" si="311"/>
        <v>0</v>
      </c>
      <c r="C365" s="1" t="str">
        <f t="shared" si="312"/>
        <v>n/a</v>
      </c>
      <c r="D365" s="1" t="str">
        <f>"Ray V. Boyd"</f>
        <v>Ray V. Boyd</v>
      </c>
      <c r="E365" s="1" t="str">
        <f t="shared" si="303"/>
        <v>31</v>
      </c>
      <c r="F365" s="1" t="str">
        <f t="shared" si="304"/>
        <v>Book</v>
      </c>
      <c r="G365" s="1" t="str">
        <f>"46163"</f>
        <v>46163</v>
      </c>
      <c r="H365" s="1" t="str">
        <f t="shared" si="308"/>
        <v>2022-01-04</v>
      </c>
      <c r="I365" s="1" t="str">
        <f t="shared" si="6"/>
        <v>2</v>
      </c>
      <c r="J365" s="1" t="str">
        <f t="shared" si="7"/>
        <v>Rejected All</v>
      </c>
      <c r="L365" s="1" t="str">
        <f>"46601"</f>
        <v>46601</v>
      </c>
      <c r="M365" s="1" t="str">
        <f t="shared" ref="M365:M367" si="315">"39"</f>
        <v>39</v>
      </c>
      <c r="N365" s="1" t="str">
        <f t="shared" ref="N365:N367" si="316">"being detrimental to security for the following reason:"</f>
        <v>being detrimental to security for the following reason:</v>
      </c>
    </row>
    <row r="366" ht="14.25" customHeight="1">
      <c r="A366" s="1" t="str">
        <f>"All Over the Place"</f>
        <v>All Over the Place</v>
      </c>
      <c r="B366" s="1" t="str">
        <f t="shared" si="311"/>
        <v>0</v>
      </c>
      <c r="C366" s="1" t="str">
        <f t="shared" si="312"/>
        <v>n/a</v>
      </c>
      <c r="D366" s="1" t="str">
        <f>"Jermaine &amp;quot;Swurve&amp;quot; Young"</f>
        <v>Jermaine &amp;quot;Swurve&amp;quot; Young</v>
      </c>
      <c r="E366" s="1" t="str">
        <f t="shared" si="303"/>
        <v>31</v>
      </c>
      <c r="F366" s="1" t="str">
        <f t="shared" si="304"/>
        <v>Book</v>
      </c>
      <c r="G366" s="1" t="str">
        <f>"46134"</f>
        <v>46134</v>
      </c>
      <c r="H366" s="1" t="str">
        <f t="shared" si="308"/>
        <v>2022-01-04</v>
      </c>
      <c r="I366" s="1" t="str">
        <f t="shared" si="6"/>
        <v>2</v>
      </c>
      <c r="J366" s="1" t="str">
        <f t="shared" si="7"/>
        <v>Rejected All</v>
      </c>
      <c r="L366" s="1" t="str">
        <f>"46664"</f>
        <v>46664</v>
      </c>
      <c r="M366" s="1" t="str">
        <f t="shared" si="315"/>
        <v>39</v>
      </c>
      <c r="N366" s="1" t="str">
        <f t="shared" si="316"/>
        <v>being detrimental to security for the following reason:</v>
      </c>
    </row>
    <row r="367" ht="14.25" customHeight="1">
      <c r="A367" s="1" t="str">
        <f>"Don&amp;#39;t Drop The Soap"</f>
        <v>Don&amp;#39;t Drop The Soap</v>
      </c>
      <c r="B367" s="1" t="str">
        <f t="shared" si="311"/>
        <v>0</v>
      </c>
      <c r="C367" s="1" t="str">
        <f t="shared" si="312"/>
        <v>n/a</v>
      </c>
      <c r="D367" s="1" t="str">
        <f>"Andrew Medal "</f>
        <v>Andrew Medal </v>
      </c>
      <c r="E367" s="1" t="str">
        <f t="shared" si="303"/>
        <v>31</v>
      </c>
      <c r="F367" s="1" t="str">
        <f t="shared" si="304"/>
        <v>Book</v>
      </c>
      <c r="G367" s="1" t="str">
        <f>"46167"</f>
        <v>46167</v>
      </c>
      <c r="H367" s="1" t="str">
        <f t="shared" ref="H367:H372" si="317">"2022-02-01"</f>
        <v>2022-02-01</v>
      </c>
      <c r="I367" s="1" t="str">
        <f t="shared" si="6"/>
        <v>2</v>
      </c>
      <c r="J367" s="1" t="str">
        <f t="shared" si="7"/>
        <v>Rejected All</v>
      </c>
      <c r="L367" s="1" t="str">
        <f>"46607"</f>
        <v>46607</v>
      </c>
      <c r="M367" s="1" t="str">
        <f t="shared" si="315"/>
        <v>39</v>
      </c>
      <c r="N367" s="1" t="str">
        <f t="shared" si="316"/>
        <v>being detrimental to security for the following reason:</v>
      </c>
    </row>
    <row r="368" ht="14.25" customHeight="1">
      <c r="A368" s="1" t="str">
        <f>"Explosive Sex"</f>
        <v>Explosive Sex</v>
      </c>
      <c r="B368" s="1" t="str">
        <f t="shared" si="311"/>
        <v>0</v>
      </c>
      <c r="C368" s="1" t="str">
        <f t="shared" si="312"/>
        <v>n/a</v>
      </c>
      <c r="D368" s="1" t="str">
        <f>"Richard Emerson "</f>
        <v>Richard Emerson </v>
      </c>
      <c r="E368" s="1" t="str">
        <f t="shared" si="303"/>
        <v>31</v>
      </c>
      <c r="F368" s="1" t="str">
        <f t="shared" si="304"/>
        <v>Book</v>
      </c>
      <c r="G368" s="1" t="str">
        <f>"46177"</f>
        <v>46177</v>
      </c>
      <c r="H368" s="1" t="str">
        <f t="shared" si="317"/>
        <v>2022-02-01</v>
      </c>
      <c r="I368" s="1" t="str">
        <f t="shared" si="6"/>
        <v>2</v>
      </c>
      <c r="J368" s="1" t="str">
        <f t="shared" si="7"/>
        <v>Rejected All</v>
      </c>
      <c r="L368" s="1" t="str">
        <f>"46616"</f>
        <v>46616</v>
      </c>
      <c r="M368" s="1" t="str">
        <f>"42"</f>
        <v>42</v>
      </c>
      <c r="N368" s="1" t="str">
        <f>"containing pictorially explicit nudity"</f>
        <v>containing pictorially explicit nudity</v>
      </c>
    </row>
    <row r="369" ht="14.25" customHeight="1">
      <c r="A369" s="1" t="str">
        <f>"Are You Coming? A Vagina Owners Guide to Orgasm "</f>
        <v>Are You Coming? A Vagina Owners Guide to Orgasm </v>
      </c>
      <c r="B369" s="1" t="str">
        <f t="shared" si="311"/>
        <v>0</v>
      </c>
      <c r="C369" s="1" t="str">
        <f t="shared" si="312"/>
        <v>n/a</v>
      </c>
      <c r="D369" s="1" t="str">
        <f>"Laura Hiddinga"</f>
        <v>Laura Hiddinga</v>
      </c>
      <c r="E369" s="1" t="str">
        <f t="shared" si="303"/>
        <v>31</v>
      </c>
      <c r="F369" s="1" t="str">
        <f t="shared" si="304"/>
        <v>Book</v>
      </c>
      <c r="G369" s="1" t="str">
        <f>"46178"</f>
        <v>46178</v>
      </c>
      <c r="H369" s="1" t="str">
        <f t="shared" si="317"/>
        <v>2022-02-01</v>
      </c>
      <c r="I369" s="1" t="str">
        <f t="shared" si="6"/>
        <v>2</v>
      </c>
      <c r="J369" s="1" t="str">
        <f t="shared" si="7"/>
        <v>Rejected All</v>
      </c>
      <c r="L369" s="1" t="str">
        <f>"46618"</f>
        <v>46618</v>
      </c>
      <c r="M369" s="1" t="str">
        <f>"41"</f>
        <v>41</v>
      </c>
      <c r="N369" s="1" t="str">
        <f>"containing pictorially explicit sexual activity"</f>
        <v>containing pictorially explicit sexual activity</v>
      </c>
    </row>
    <row r="370" ht="14.25" customHeight="1">
      <c r="A370" s="1" t="str">
        <f>"Lock &amp;amp; Key "</f>
        <v>Lock &amp;amp; Key </v>
      </c>
      <c r="B370" s="1" t="str">
        <f t="shared" ref="B370:B371" si="318">"10586"</f>
        <v>10586</v>
      </c>
      <c r="C370" s="1" t="str">
        <f t="shared" ref="C370:C371" si="319">"Welcome to Lovecraft "</f>
        <v>Welcome to Lovecraft </v>
      </c>
      <c r="D370" s="1" t="str">
        <f t="shared" ref="D370:D371" si="320">"Joe Hill and Gabriel Rodriguez"</f>
        <v>Joe Hill and Gabriel Rodriguez</v>
      </c>
      <c r="E370" s="1" t="str">
        <f t="shared" si="303"/>
        <v>31</v>
      </c>
      <c r="F370" s="1" t="str">
        <f t="shared" si="304"/>
        <v>Book</v>
      </c>
      <c r="G370" s="1" t="str">
        <f>"46175"</f>
        <v>46175</v>
      </c>
      <c r="H370" s="1" t="str">
        <f t="shared" si="317"/>
        <v>2022-02-01</v>
      </c>
      <c r="I370" s="1" t="str">
        <f t="shared" si="6"/>
        <v>2</v>
      </c>
      <c r="J370" s="1" t="str">
        <f t="shared" si="7"/>
        <v>Rejected All</v>
      </c>
      <c r="L370" s="1" t="str">
        <f>"46614"</f>
        <v>46614</v>
      </c>
      <c r="M370" s="1" t="str">
        <f t="shared" ref="M370:M371" si="321">"9"</f>
        <v>9</v>
      </c>
      <c r="N370" s="1" t="str">
        <f t="shared" ref="N370:N371" si="322">"describing or encouraging physical violence or group disruption"</f>
        <v>describing or encouraging physical violence or group disruption</v>
      </c>
    </row>
    <row r="371" ht="14.25" customHeight="1">
      <c r="A371" s="1" t="str">
        <f>"Locke &amp;amp; Key "</f>
        <v>Locke &amp;amp; Key </v>
      </c>
      <c r="B371" s="1" t="str">
        <f t="shared" si="318"/>
        <v>10586</v>
      </c>
      <c r="C371" s="1" t="str">
        <f t="shared" si="319"/>
        <v>Welcome to Lovecraft </v>
      </c>
      <c r="D371" s="1" t="str">
        <f t="shared" si="320"/>
        <v>Joe Hill and Gabriel Rodriguez</v>
      </c>
      <c r="E371" s="1" t="str">
        <f t="shared" si="303"/>
        <v>31</v>
      </c>
      <c r="F371" s="1" t="str">
        <f t="shared" si="304"/>
        <v>Book</v>
      </c>
      <c r="G371" s="1" t="str">
        <f>"46176"</f>
        <v>46176</v>
      </c>
      <c r="H371" s="1" t="str">
        <f t="shared" si="317"/>
        <v>2022-02-01</v>
      </c>
      <c r="I371" s="1" t="str">
        <f t="shared" si="6"/>
        <v>2</v>
      </c>
      <c r="J371" s="1" t="str">
        <f t="shared" si="7"/>
        <v>Rejected All</v>
      </c>
      <c r="L371" s="1" t="str">
        <f>"46615"</f>
        <v>46615</v>
      </c>
      <c r="M371" s="1" t="str">
        <f t="shared" si="321"/>
        <v>9</v>
      </c>
      <c r="N371" s="1" t="str">
        <f t="shared" si="322"/>
        <v>describing or encouraging physical violence or group disruption</v>
      </c>
    </row>
    <row r="372" ht="14.25" customHeight="1">
      <c r="A372" s="1" t="str">
        <f>"DONDIVA"</f>
        <v>DONDIVA</v>
      </c>
      <c r="B372" s="1" t="str">
        <f>"10585"</f>
        <v>10585</v>
      </c>
      <c r="C372" s="1" t="str">
        <f>"Issue # 0061-10 Most Infamous Card Cracking Gangs"</f>
        <v>Issue # 0061-10 Most Infamous Card Cracking Gangs</v>
      </c>
      <c r="E372" s="1" t="str">
        <f>"32"</f>
        <v>32</v>
      </c>
      <c r="F372" s="1" t="str">
        <f>"Magazine/Newspaper"</f>
        <v>Magazine/Newspaper</v>
      </c>
      <c r="G372" s="1" t="str">
        <f>"46174"</f>
        <v>46174</v>
      </c>
      <c r="H372" s="1" t="str">
        <f t="shared" si="317"/>
        <v>2022-02-01</v>
      </c>
      <c r="I372" s="1" t="str">
        <f t="shared" si="6"/>
        <v>2</v>
      </c>
      <c r="J372" s="1" t="str">
        <f t="shared" si="7"/>
        <v>Rejected All</v>
      </c>
      <c r="L372" s="1" t="str">
        <f>"46613"</f>
        <v>46613</v>
      </c>
      <c r="M372" s="1" t="str">
        <f>"10"</f>
        <v>10</v>
      </c>
      <c r="N372" s="1" t="str">
        <f>"encouraging or instructing on the commision of criminal activity"</f>
        <v>encouraging or instructing on the commision of criminal activity</v>
      </c>
    </row>
    <row r="373" ht="14.25" customHeight="1">
      <c r="A373" s="1" t="str">
        <f>"The Last Man "</f>
        <v>The Last Man </v>
      </c>
      <c r="B373" s="1" t="str">
        <f>"10597"</f>
        <v>10597</v>
      </c>
      <c r="C373" s="1" t="str">
        <f>"Book #4"</f>
        <v>Book #4</v>
      </c>
      <c r="D373" s="1" t="str">
        <f>"Brian Vaughn "</f>
        <v>Brian Vaughn </v>
      </c>
      <c r="E373" s="1" t="str">
        <f t="shared" ref="E373:E397" si="323">"31"</f>
        <v>31</v>
      </c>
      <c r="F373" s="1" t="str">
        <f t="shared" ref="F373:F397" si="324">"Book"</f>
        <v>Book</v>
      </c>
      <c r="G373" s="1" t="str">
        <f>"46215"</f>
        <v>46215</v>
      </c>
      <c r="H373" s="1" t="str">
        <f t="shared" ref="H373:H374" si="325">"2022-02-15"</f>
        <v>2022-02-15</v>
      </c>
      <c r="I373" s="1" t="str">
        <f t="shared" si="6"/>
        <v>2</v>
      </c>
      <c r="J373" s="1" t="str">
        <f t="shared" si="7"/>
        <v>Rejected All</v>
      </c>
      <c r="L373" s="1" t="str">
        <f>"46655"</f>
        <v>46655</v>
      </c>
      <c r="M373" s="1" t="str">
        <f t="shared" ref="M373:M374" si="326">"42"</f>
        <v>42</v>
      </c>
      <c r="N373" s="1" t="str">
        <f t="shared" ref="N373:N374" si="327">"containing pictorially explicit nudity"</f>
        <v>containing pictorially explicit nudity</v>
      </c>
    </row>
    <row r="374" ht="14.25" customHeight="1">
      <c r="A374" s="1" t="str">
        <f>"Bang: Masturbation for People of All Genders &amp;amp; Abilties"</f>
        <v>Bang: Masturbation for People of All Genders &amp;amp; Abilties</v>
      </c>
      <c r="B374" s="1" t="str">
        <f t="shared" ref="B374:B381" si="328">"0"</f>
        <v>0</v>
      </c>
      <c r="C374" s="1" t="str">
        <f t="shared" ref="C374:C381" si="329">"n/a"</f>
        <v>n/a</v>
      </c>
      <c r="D374" s="1" t="str">
        <f>"Vic Liu"</f>
        <v>Vic Liu</v>
      </c>
      <c r="E374" s="1" t="str">
        <f t="shared" si="323"/>
        <v>31</v>
      </c>
      <c r="F374" s="1" t="str">
        <f t="shared" si="324"/>
        <v>Book</v>
      </c>
      <c r="G374" s="1" t="str">
        <f>"46209"</f>
        <v>46209</v>
      </c>
      <c r="H374" s="1" t="str">
        <f t="shared" si="325"/>
        <v>2022-02-15</v>
      </c>
      <c r="I374" s="1" t="str">
        <f t="shared" si="6"/>
        <v>2</v>
      </c>
      <c r="J374" s="1" t="str">
        <f t="shared" si="7"/>
        <v>Rejected All</v>
      </c>
      <c r="L374" s="1" t="str">
        <f>"46649"</f>
        <v>46649</v>
      </c>
      <c r="M374" s="1" t="str">
        <f t="shared" si="326"/>
        <v>42</v>
      </c>
      <c r="N374" s="1" t="str">
        <f t="shared" si="327"/>
        <v>containing pictorially explicit nudity</v>
      </c>
    </row>
    <row r="375" ht="14.25" customHeight="1">
      <c r="A375" s="1" t="str">
        <f>"King of Kings"</f>
        <v>King of Kings</v>
      </c>
      <c r="B375" s="1" t="str">
        <f t="shared" si="328"/>
        <v>0</v>
      </c>
      <c r="C375" s="1" t="str">
        <f t="shared" si="329"/>
        <v>n/a</v>
      </c>
      <c r="D375" s="1" t="str">
        <f t="shared" ref="D375:D376" si="330">"King Thomas"</f>
        <v>King Thomas</v>
      </c>
      <c r="E375" s="1" t="str">
        <f t="shared" si="323"/>
        <v>31</v>
      </c>
      <c r="F375" s="1" t="str">
        <f t="shared" si="324"/>
        <v>Book</v>
      </c>
      <c r="G375" s="1" t="str">
        <f>"46223"</f>
        <v>46223</v>
      </c>
      <c r="H375" s="1" t="str">
        <f t="shared" ref="H375:H381" si="331">"2022-03-01"</f>
        <v>2022-03-01</v>
      </c>
      <c r="I375" s="1" t="str">
        <f t="shared" si="6"/>
        <v>2</v>
      </c>
      <c r="J375" s="1" t="str">
        <f t="shared" si="7"/>
        <v>Rejected All</v>
      </c>
      <c r="L375" s="1" t="str">
        <f>"46665"</f>
        <v>46665</v>
      </c>
      <c r="M375" s="1" t="str">
        <f t="shared" ref="M375:M376" si="332">"39"</f>
        <v>39</v>
      </c>
      <c r="N375" s="1" t="str">
        <f t="shared" ref="N375:N376" si="333">"being detrimental to security for the following reason:"</f>
        <v>being detrimental to security for the following reason:</v>
      </c>
    </row>
    <row r="376" ht="14.25" customHeight="1">
      <c r="A376" s="1" t="str">
        <f>"Homicide Hartford "</f>
        <v>Homicide Hartford </v>
      </c>
      <c r="B376" s="1" t="str">
        <f t="shared" si="328"/>
        <v>0</v>
      </c>
      <c r="C376" s="1" t="str">
        <f t="shared" si="329"/>
        <v>n/a</v>
      </c>
      <c r="D376" s="1" t="str">
        <f t="shared" si="330"/>
        <v>King Thomas</v>
      </c>
      <c r="E376" s="1" t="str">
        <f t="shared" si="323"/>
        <v>31</v>
      </c>
      <c r="F376" s="1" t="str">
        <f t="shared" si="324"/>
        <v>Book</v>
      </c>
      <c r="G376" s="1" t="str">
        <f>"46225"</f>
        <v>46225</v>
      </c>
      <c r="H376" s="1" t="str">
        <f t="shared" si="331"/>
        <v>2022-03-01</v>
      </c>
      <c r="I376" s="1" t="str">
        <f t="shared" si="6"/>
        <v>2</v>
      </c>
      <c r="J376" s="1" t="str">
        <f t="shared" si="7"/>
        <v>Rejected All</v>
      </c>
      <c r="L376" s="1" t="str">
        <f>"46666"</f>
        <v>46666</v>
      </c>
      <c r="M376" s="1" t="str">
        <f t="shared" si="332"/>
        <v>39</v>
      </c>
      <c r="N376" s="1" t="str">
        <f t="shared" si="333"/>
        <v>being detrimental to security for the following reason:</v>
      </c>
    </row>
    <row r="377" ht="14.25" customHeight="1">
      <c r="A377" s="1" t="str">
        <f>"Torture Mom"</f>
        <v>Torture Mom</v>
      </c>
      <c r="B377" s="1" t="str">
        <f t="shared" si="328"/>
        <v>0</v>
      </c>
      <c r="C377" s="1" t="str">
        <f t="shared" si="329"/>
        <v>n/a</v>
      </c>
      <c r="D377" s="1" t="str">
        <f>"Ryan Green "</f>
        <v>Ryan Green </v>
      </c>
      <c r="E377" s="1" t="str">
        <f t="shared" si="323"/>
        <v>31</v>
      </c>
      <c r="F377" s="1" t="str">
        <f t="shared" si="324"/>
        <v>Book</v>
      </c>
      <c r="G377" s="1" t="str">
        <f>"46226"</f>
        <v>46226</v>
      </c>
      <c r="H377" s="1" t="str">
        <f t="shared" si="331"/>
        <v>2022-03-01</v>
      </c>
      <c r="I377" s="1" t="str">
        <f t="shared" si="6"/>
        <v>2</v>
      </c>
      <c r="J377" s="1" t="str">
        <f t="shared" si="7"/>
        <v>Rejected All</v>
      </c>
      <c r="L377" s="1" t="str">
        <f>"46667"</f>
        <v>46667</v>
      </c>
      <c r="M377" s="1" t="str">
        <f>"46"</f>
        <v>46</v>
      </c>
      <c r="N377" s="1" t="str">
        <f>"containing written sexually explicit material involving the use of force or non-consent"</f>
        <v>containing written sexually explicit material involving the use of force or non-consent</v>
      </c>
    </row>
    <row r="378" ht="14.25" customHeight="1">
      <c r="A378" s="1" t="s">
        <v>16</v>
      </c>
      <c r="B378" s="1" t="str">
        <f t="shared" si="328"/>
        <v>0</v>
      </c>
      <c r="C378" s="1" t="str">
        <f t="shared" si="329"/>
        <v>n/a</v>
      </c>
      <c r="D378" s="1" t="str">
        <f>"Bandele El-Amin"</f>
        <v>Bandele El-Amin</v>
      </c>
      <c r="E378" s="1" t="str">
        <f t="shared" si="323"/>
        <v>31</v>
      </c>
      <c r="F378" s="1" t="str">
        <f t="shared" si="324"/>
        <v>Book</v>
      </c>
      <c r="G378" s="1" t="str">
        <f>"46228"</f>
        <v>46228</v>
      </c>
      <c r="H378" s="1" t="str">
        <f t="shared" si="331"/>
        <v>2022-03-01</v>
      </c>
      <c r="I378" s="1" t="str">
        <f t="shared" si="6"/>
        <v>2</v>
      </c>
      <c r="J378" s="1" t="str">
        <f t="shared" si="7"/>
        <v>Rejected All</v>
      </c>
      <c r="L378" s="1" t="str">
        <f>"46669"</f>
        <v>46669</v>
      </c>
      <c r="M378" s="1" t="str">
        <f>"50"</f>
        <v>50</v>
      </c>
      <c r="N378" s="1" t="str">
        <f>"containing material influenced by &amp;quot;sovereign citizen&amp;quot; ideology"</f>
        <v>containing material influenced by &amp;quot;sovereign citizen&amp;quot; ideology</v>
      </c>
    </row>
    <row r="379" ht="14.25" customHeight="1">
      <c r="A379" s="1" t="str">
        <f>"Twelve Years With Hilter"</f>
        <v>Twelve Years With Hilter</v>
      </c>
      <c r="B379" s="1" t="str">
        <f t="shared" si="328"/>
        <v>0</v>
      </c>
      <c r="C379" s="1" t="str">
        <f t="shared" si="329"/>
        <v>n/a</v>
      </c>
      <c r="D379" s="1" t="str">
        <f>"1. Kompanie LAH Veterans Association "</f>
        <v>1. Kompanie LAH Veterans Association </v>
      </c>
      <c r="E379" s="1" t="str">
        <f t="shared" si="323"/>
        <v>31</v>
      </c>
      <c r="F379" s="1" t="str">
        <f t="shared" si="324"/>
        <v>Book</v>
      </c>
      <c r="G379" s="1" t="str">
        <f>"46229"</f>
        <v>46229</v>
      </c>
      <c r="H379" s="1" t="str">
        <f t="shared" si="331"/>
        <v>2022-03-01</v>
      </c>
      <c r="I379" s="1" t="str">
        <f t="shared" si="6"/>
        <v>2</v>
      </c>
      <c r="J379" s="1" t="str">
        <f t="shared" si="7"/>
        <v>Rejected All</v>
      </c>
      <c r="L379" s="1" t="str">
        <f>"46670"</f>
        <v>46670</v>
      </c>
      <c r="M379" s="1" t="str">
        <f>"49"</f>
        <v>49</v>
      </c>
      <c r="N379" s="1" t="s">
        <v>0</v>
      </c>
    </row>
    <row r="380" ht="14.25" customHeight="1">
      <c r="A380" s="1" t="str">
        <f>"Captive Genders"</f>
        <v>Captive Genders</v>
      </c>
      <c r="B380" s="1" t="str">
        <f t="shared" si="328"/>
        <v>0</v>
      </c>
      <c r="C380" s="1" t="str">
        <f t="shared" si="329"/>
        <v>n/a</v>
      </c>
      <c r="D380" s="1" t="str">
        <f>"Eric A. Stanley and Nat Smith"</f>
        <v>Eric A. Stanley and Nat Smith</v>
      </c>
      <c r="E380" s="1" t="str">
        <f t="shared" si="323"/>
        <v>31</v>
      </c>
      <c r="F380" s="1" t="str">
        <f t="shared" si="324"/>
        <v>Book</v>
      </c>
      <c r="G380" s="1" t="str">
        <f>"46250"</f>
        <v>46250</v>
      </c>
      <c r="H380" s="1" t="str">
        <f t="shared" si="331"/>
        <v>2022-03-01</v>
      </c>
      <c r="I380" s="1" t="str">
        <f t="shared" si="6"/>
        <v>2</v>
      </c>
      <c r="J380" s="1" t="str">
        <f t="shared" si="7"/>
        <v>Rejected All</v>
      </c>
      <c r="L380" s="1" t="str">
        <f>"46691"</f>
        <v>46691</v>
      </c>
      <c r="M380" s="1" t="str">
        <f>"9"</f>
        <v>9</v>
      </c>
      <c r="N380" s="1" t="str">
        <f>"describing or encouraging physical violence or group disruption"</f>
        <v>describing or encouraging physical violence or group disruption</v>
      </c>
    </row>
    <row r="381" ht="14.25" customHeight="1">
      <c r="A381" s="1" t="str">
        <f>"The Broken Flower"</f>
        <v>The Broken Flower</v>
      </c>
      <c r="B381" s="1" t="str">
        <f t="shared" si="328"/>
        <v>0</v>
      </c>
      <c r="C381" s="1" t="str">
        <f t="shared" si="329"/>
        <v>n/a</v>
      </c>
      <c r="D381" s="1" t="str">
        <f>"BJ Tryon"</f>
        <v>BJ Tryon</v>
      </c>
      <c r="E381" s="1" t="str">
        <f t="shared" si="323"/>
        <v>31</v>
      </c>
      <c r="F381" s="1" t="str">
        <f t="shared" si="324"/>
        <v>Book</v>
      </c>
      <c r="G381" s="1" t="str">
        <f>"46277"</f>
        <v>46277</v>
      </c>
      <c r="H381" s="1" t="str">
        <f t="shared" si="331"/>
        <v>2022-03-01</v>
      </c>
      <c r="I381" s="1" t="str">
        <f t="shared" si="6"/>
        <v>2</v>
      </c>
      <c r="J381" s="1" t="str">
        <f t="shared" si="7"/>
        <v>Rejected All</v>
      </c>
      <c r="L381" s="1" t="str">
        <f>"46715"</f>
        <v>46715</v>
      </c>
      <c r="M381" s="1" t="str">
        <f>"39"</f>
        <v>39</v>
      </c>
      <c r="N381" s="1" t="str">
        <f>"being detrimental to security for the following reason:"</f>
        <v>being detrimental to security for the following reason:</v>
      </c>
    </row>
    <row r="382" ht="14.25" customHeight="1">
      <c r="A382" s="1" t="str">
        <f>"From Niggas to Gods Part 1"</f>
        <v>From Niggas to Gods Part 1</v>
      </c>
      <c r="B382" s="1" t="str">
        <f t="shared" ref="B382:B388" si="334">"10630"</f>
        <v>10630</v>
      </c>
      <c r="C382" s="1" t="str">
        <f t="shared" ref="C382:C388" si="335">"04/19/2022"</f>
        <v>04/19/2022</v>
      </c>
      <c r="D382" s="1" t="str">
        <f>"Akil"</f>
        <v>Akil</v>
      </c>
      <c r="E382" s="1" t="str">
        <f t="shared" si="323"/>
        <v>31</v>
      </c>
      <c r="F382" s="1" t="str">
        <f t="shared" si="324"/>
        <v>Book</v>
      </c>
      <c r="G382" s="1" t="str">
        <f>"46300"</f>
        <v>46300</v>
      </c>
      <c r="H382" s="1" t="str">
        <f t="shared" ref="H382:H389" si="336">"2022-04-19"</f>
        <v>2022-04-19</v>
      </c>
      <c r="I382" s="1" t="str">
        <f t="shared" si="6"/>
        <v>2</v>
      </c>
      <c r="J382" s="1" t="str">
        <f t="shared" si="7"/>
        <v>Rejected All</v>
      </c>
      <c r="L382" s="1" t="str">
        <f>"46741"</f>
        <v>46741</v>
      </c>
      <c r="M382" s="1" t="str">
        <f>"10"</f>
        <v>10</v>
      </c>
      <c r="N382" s="1" t="str">
        <f>"encouraging or instructing on the commision of criminal activity"</f>
        <v>encouraging or instructing on the commision of criminal activity</v>
      </c>
    </row>
    <row r="383" ht="14.25" customHeight="1">
      <c r="A383" s="1" t="str">
        <f>"Spice &amp;amp; Wolf Vol 1"</f>
        <v>Spice &amp;amp; Wolf Vol 1</v>
      </c>
      <c r="B383" s="1" t="str">
        <f t="shared" si="334"/>
        <v>10630</v>
      </c>
      <c r="C383" s="1" t="str">
        <f t="shared" si="335"/>
        <v>04/19/2022</v>
      </c>
      <c r="D383" s="1" t="str">
        <f>"Isuna Hasekura"</f>
        <v>Isuna Hasekura</v>
      </c>
      <c r="E383" s="1" t="str">
        <f t="shared" si="323"/>
        <v>31</v>
      </c>
      <c r="F383" s="1" t="str">
        <f t="shared" si="324"/>
        <v>Book</v>
      </c>
      <c r="G383" s="1" t="str">
        <f>"46301"</f>
        <v>46301</v>
      </c>
      <c r="H383" s="1" t="str">
        <f t="shared" si="336"/>
        <v>2022-04-19</v>
      </c>
      <c r="I383" s="1" t="str">
        <f t="shared" si="6"/>
        <v>2</v>
      </c>
      <c r="J383" s="1" t="str">
        <f t="shared" si="7"/>
        <v>Rejected All</v>
      </c>
      <c r="L383" s="1" t="str">
        <f>"46742"</f>
        <v>46742</v>
      </c>
      <c r="M383" s="1" t="str">
        <f t="shared" ref="M383:M385" si="337">"42"</f>
        <v>42</v>
      </c>
      <c r="N383" s="1" t="str">
        <f t="shared" ref="N383:N385" si="338">"containing pictorially explicit nudity"</f>
        <v>containing pictorially explicit nudity</v>
      </c>
    </row>
    <row r="384" ht="14.25" customHeight="1">
      <c r="A384" s="1" t="str">
        <f>"Tarot Book &amp;amp; Card Deck"</f>
        <v>Tarot Book &amp;amp; Card Deck</v>
      </c>
      <c r="B384" s="1" t="str">
        <f t="shared" si="334"/>
        <v>10630</v>
      </c>
      <c r="C384" s="1" t="str">
        <f t="shared" si="335"/>
        <v>04/19/2022</v>
      </c>
      <c r="D384" s="1" t="str">
        <f>"Alice Ekrek"</f>
        <v>Alice Ekrek</v>
      </c>
      <c r="E384" s="1" t="str">
        <f t="shared" si="323"/>
        <v>31</v>
      </c>
      <c r="F384" s="1" t="str">
        <f t="shared" si="324"/>
        <v>Book</v>
      </c>
      <c r="G384" s="1" t="str">
        <f>"46304"</f>
        <v>46304</v>
      </c>
      <c r="H384" s="1" t="str">
        <f t="shared" si="336"/>
        <v>2022-04-19</v>
      </c>
      <c r="I384" s="1" t="str">
        <f t="shared" si="6"/>
        <v>2</v>
      </c>
      <c r="J384" s="1" t="str">
        <f t="shared" si="7"/>
        <v>Rejected All</v>
      </c>
      <c r="L384" s="1" t="str">
        <f>"46747"</f>
        <v>46747</v>
      </c>
      <c r="M384" s="1" t="str">
        <f t="shared" si="337"/>
        <v>42</v>
      </c>
      <c r="N384" s="1" t="str">
        <f t="shared" si="338"/>
        <v>containing pictorially explicit nudity</v>
      </c>
    </row>
    <row r="385" ht="14.25" customHeight="1">
      <c r="A385" s="1" t="str">
        <f>"The Last Man BOOK 5"</f>
        <v>The Last Man BOOK 5</v>
      </c>
      <c r="B385" s="1" t="str">
        <f t="shared" si="334"/>
        <v>10630</v>
      </c>
      <c r="C385" s="1" t="str">
        <f t="shared" si="335"/>
        <v>04/19/2022</v>
      </c>
      <c r="D385" s="1" t="str">
        <f>"Brian Vaughn "</f>
        <v>Brian Vaughn </v>
      </c>
      <c r="E385" s="1" t="str">
        <f t="shared" si="323"/>
        <v>31</v>
      </c>
      <c r="F385" s="1" t="str">
        <f t="shared" si="324"/>
        <v>Book</v>
      </c>
      <c r="G385" s="1" t="str">
        <f>"46321"</f>
        <v>46321</v>
      </c>
      <c r="H385" s="1" t="str">
        <f t="shared" si="336"/>
        <v>2022-04-19</v>
      </c>
      <c r="I385" s="1" t="str">
        <f t="shared" si="6"/>
        <v>2</v>
      </c>
      <c r="J385" s="1" t="str">
        <f t="shared" si="7"/>
        <v>Rejected All</v>
      </c>
      <c r="L385" s="1" t="str">
        <f>"46765"</f>
        <v>46765</v>
      </c>
      <c r="M385" s="1" t="str">
        <f t="shared" si="337"/>
        <v>42</v>
      </c>
      <c r="N385" s="1" t="str">
        <f t="shared" si="338"/>
        <v>containing pictorially explicit nudity</v>
      </c>
    </row>
    <row r="386" ht="14.25" customHeight="1">
      <c r="A386" s="1" t="str">
        <f>"The Hero"</f>
        <v>The Hero</v>
      </c>
      <c r="B386" s="1" t="str">
        <f t="shared" si="334"/>
        <v>10630</v>
      </c>
      <c r="C386" s="1" t="str">
        <f t="shared" si="335"/>
        <v>04/19/2022</v>
      </c>
      <c r="D386" s="1" t="str">
        <f>"King Coopa J"</f>
        <v>King Coopa J</v>
      </c>
      <c r="E386" s="1" t="str">
        <f t="shared" si="323"/>
        <v>31</v>
      </c>
      <c r="F386" s="1" t="str">
        <f t="shared" si="324"/>
        <v>Book</v>
      </c>
      <c r="G386" s="1" t="str">
        <f>"46338"</f>
        <v>46338</v>
      </c>
      <c r="H386" s="1" t="str">
        <f t="shared" si="336"/>
        <v>2022-04-19</v>
      </c>
      <c r="I386" s="1" t="str">
        <f t="shared" si="6"/>
        <v>2</v>
      </c>
      <c r="J386" s="1" t="str">
        <f t="shared" si="7"/>
        <v>Rejected All</v>
      </c>
      <c r="L386" s="1" t="str">
        <f>"46783"</f>
        <v>46783</v>
      </c>
      <c r="M386" s="1" t="str">
        <f>"45"</f>
        <v>45</v>
      </c>
      <c r="N386" s="1" t="str">
        <f>"containing written sexually explicit material involving minors"</f>
        <v>containing written sexually explicit material involving minors</v>
      </c>
    </row>
    <row r="387" ht="14.25" customHeight="1">
      <c r="A387" s="1" t="str">
        <f>"True Crime Stories "</f>
        <v>True Crime Stories </v>
      </c>
      <c r="B387" s="1" t="str">
        <f t="shared" si="334"/>
        <v>10630</v>
      </c>
      <c r="C387" s="1" t="str">
        <f t="shared" si="335"/>
        <v>04/19/2022</v>
      </c>
      <c r="D387" s="1" t="str">
        <f>"Ryan Becker"</f>
        <v>Ryan Becker</v>
      </c>
      <c r="E387" s="1" t="str">
        <f t="shared" si="323"/>
        <v>31</v>
      </c>
      <c r="F387" s="1" t="str">
        <f t="shared" si="324"/>
        <v>Book</v>
      </c>
      <c r="G387" s="1" t="str">
        <f>"46343"</f>
        <v>46343</v>
      </c>
      <c r="H387" s="1" t="str">
        <f t="shared" si="336"/>
        <v>2022-04-19</v>
      </c>
      <c r="I387" s="1" t="str">
        <f t="shared" si="6"/>
        <v>2</v>
      </c>
      <c r="J387" s="1" t="str">
        <f t="shared" si="7"/>
        <v>Rejected All</v>
      </c>
      <c r="L387" s="1" t="str">
        <f>"46788"</f>
        <v>46788</v>
      </c>
      <c r="M387" s="1" t="str">
        <f>"10"</f>
        <v>10</v>
      </c>
      <c r="N387" s="1" t="str">
        <f>"encouraging or instructing on the commision of criminal activity"</f>
        <v>encouraging or instructing on the commision of criminal activity</v>
      </c>
    </row>
    <row r="388" ht="14.25" customHeight="1">
      <c r="A388" s="1" t="str">
        <f>"Chemistry Made Easy"</f>
        <v>Chemistry Made Easy</v>
      </c>
      <c r="B388" s="1" t="str">
        <f t="shared" si="334"/>
        <v>10630</v>
      </c>
      <c r="C388" s="1" t="str">
        <f t="shared" si="335"/>
        <v>04/19/2022</v>
      </c>
      <c r="D388" s="1" t="str">
        <f>"Study Guide "</f>
        <v>Study Guide </v>
      </c>
      <c r="E388" s="1" t="str">
        <f t="shared" si="323"/>
        <v>31</v>
      </c>
      <c r="F388" s="1" t="str">
        <f t="shared" si="324"/>
        <v>Book</v>
      </c>
      <c r="G388" s="1" t="str">
        <f>"46352"</f>
        <v>46352</v>
      </c>
      <c r="H388" s="1" t="str">
        <f t="shared" si="336"/>
        <v>2022-04-19</v>
      </c>
      <c r="I388" s="1" t="str">
        <f t="shared" si="6"/>
        <v>2</v>
      </c>
      <c r="J388" s="1" t="str">
        <f t="shared" si="7"/>
        <v>Rejected All</v>
      </c>
      <c r="L388" s="1" t="str">
        <f>"46798"</f>
        <v>46798</v>
      </c>
      <c r="M388" s="1" t="str">
        <f>"39"</f>
        <v>39</v>
      </c>
      <c r="N388" s="1" t="str">
        <f>"being detrimental to security for the following reason:"</f>
        <v>being detrimental to security for the following reason:</v>
      </c>
    </row>
    <row r="389" ht="14.25" customHeight="1">
      <c r="A389" s="1" t="str">
        <f>"Hurricanes A Memoir"</f>
        <v>Hurricanes A Memoir</v>
      </c>
      <c r="B389" s="1" t="str">
        <f t="shared" ref="B389:B390" si="339">"0"</f>
        <v>0</v>
      </c>
      <c r="C389" s="1" t="str">
        <f t="shared" ref="C389:C390" si="340">"n/a"</f>
        <v>n/a</v>
      </c>
      <c r="D389" s="1" t="str">
        <f>"Rick Ross"</f>
        <v>Rick Ross</v>
      </c>
      <c r="E389" s="1" t="str">
        <f t="shared" si="323"/>
        <v>31</v>
      </c>
      <c r="F389" s="1" t="str">
        <f t="shared" si="324"/>
        <v>Book</v>
      </c>
      <c r="G389" s="1" t="str">
        <f>"40688"</f>
        <v>40688</v>
      </c>
      <c r="H389" s="1" t="str">
        <f t="shared" si="336"/>
        <v>2022-04-19</v>
      </c>
      <c r="I389" s="1" t="str">
        <f t="shared" si="6"/>
        <v>2</v>
      </c>
      <c r="J389" s="1" t="str">
        <f t="shared" si="7"/>
        <v>Rejected All</v>
      </c>
      <c r="L389" s="1" t="str">
        <f>"46745"</f>
        <v>46745</v>
      </c>
      <c r="M389" s="1" t="str">
        <f>"10"</f>
        <v>10</v>
      </c>
      <c r="N389" s="1" t="str">
        <f>"encouraging or instructing on the commision of criminal activity"</f>
        <v>encouraging or instructing on the commision of criminal activity</v>
      </c>
    </row>
    <row r="390" ht="14.25" customHeight="1">
      <c r="A390" s="1" t="str">
        <f>"From Niggas to Gods Vol I"</f>
        <v>From Niggas to Gods Vol I</v>
      </c>
      <c r="B390" s="1" t="str">
        <f t="shared" si="339"/>
        <v>0</v>
      </c>
      <c r="C390" s="1" t="str">
        <f t="shared" si="340"/>
        <v>n/a</v>
      </c>
      <c r="D390" s="1" t="str">
        <f>"Akil"</f>
        <v>Akil</v>
      </c>
      <c r="E390" s="1" t="str">
        <f t="shared" si="323"/>
        <v>31</v>
      </c>
      <c r="F390" s="1" t="str">
        <f t="shared" si="324"/>
        <v>Book</v>
      </c>
      <c r="G390" s="1" t="str">
        <f>"37983"</f>
        <v>37983</v>
      </c>
      <c r="H390" s="1" t="str">
        <f>"2022-05-03"</f>
        <v>2022-05-03</v>
      </c>
      <c r="I390" s="1" t="str">
        <f t="shared" si="6"/>
        <v>2</v>
      </c>
      <c r="J390" s="1" t="str">
        <f t="shared" si="7"/>
        <v>Rejected All</v>
      </c>
      <c r="L390" s="1" t="str">
        <f>"46734"</f>
        <v>46734</v>
      </c>
      <c r="M390" s="1" t="str">
        <f>"9"</f>
        <v>9</v>
      </c>
      <c r="N390" s="1" t="str">
        <f>"describing or encouraging physical violence or group disruption"</f>
        <v>describing or encouraging physical violence or group disruption</v>
      </c>
    </row>
    <row r="391" ht="14.25" customHeight="1">
      <c r="A391" s="1" t="str">
        <f>"Sosa from Scarface "</f>
        <v>Sosa from Scarface </v>
      </c>
      <c r="B391" s="1" t="str">
        <f t="shared" ref="B391:B394" si="341">"10632"</f>
        <v>10632</v>
      </c>
      <c r="C391" s="1" t="str">
        <f t="shared" ref="C391:C394" si="342">"Book"</f>
        <v>Book</v>
      </c>
      <c r="D391" s="1" t="str">
        <f>"Lou Garden Price "</f>
        <v>Lou Garden Price </v>
      </c>
      <c r="E391" s="1" t="str">
        <f t="shared" si="323"/>
        <v>31</v>
      </c>
      <c r="F391" s="1" t="str">
        <f t="shared" si="324"/>
        <v>Book</v>
      </c>
      <c r="G391" s="1" t="str">
        <f>"46375"</f>
        <v>46375</v>
      </c>
      <c r="H391" s="1" t="str">
        <f t="shared" ref="H391:H398" si="343">"2022-05-17"</f>
        <v>2022-05-17</v>
      </c>
      <c r="I391" s="1" t="str">
        <f t="shared" si="6"/>
        <v>2</v>
      </c>
      <c r="J391" s="1" t="str">
        <f t="shared" si="7"/>
        <v>Rejected All</v>
      </c>
      <c r="L391" s="1" t="str">
        <f>"46820"</f>
        <v>46820</v>
      </c>
      <c r="M391" s="1" t="str">
        <f>"46"</f>
        <v>46</v>
      </c>
      <c r="N391" s="1" t="str">
        <f>"containing written sexually explicit material involving the use of force or non-consent"</f>
        <v>containing written sexually explicit material involving the use of force or non-consent</v>
      </c>
    </row>
    <row r="392" ht="14.25" customHeight="1">
      <c r="A392" s="1" t="str">
        <f>"The Queens English "</f>
        <v>The Queens English </v>
      </c>
      <c r="B392" s="1" t="str">
        <f t="shared" si="341"/>
        <v>10632</v>
      </c>
      <c r="C392" s="1" t="str">
        <f t="shared" si="342"/>
        <v>Book</v>
      </c>
      <c r="D392" s="1" t="str">
        <f>"Chloe O. Davis "</f>
        <v>Chloe O. Davis </v>
      </c>
      <c r="E392" s="1" t="str">
        <f t="shared" si="323"/>
        <v>31</v>
      </c>
      <c r="F392" s="1" t="str">
        <f t="shared" si="324"/>
        <v>Book</v>
      </c>
      <c r="G392" s="1" t="str">
        <f>"46377"</f>
        <v>46377</v>
      </c>
      <c r="H392" s="1" t="str">
        <f t="shared" si="343"/>
        <v>2022-05-17</v>
      </c>
      <c r="I392" s="1" t="str">
        <f t="shared" si="6"/>
        <v>2</v>
      </c>
      <c r="J392" s="1" t="str">
        <f t="shared" si="7"/>
        <v>Rejected All</v>
      </c>
      <c r="L392" s="1" t="str">
        <f>"46822"</f>
        <v>46822</v>
      </c>
      <c r="M392" s="1" t="str">
        <f>"43"</f>
        <v>43</v>
      </c>
      <c r="N392" s="1" t="str">
        <f>"containing written sexually explicit / sado-masochistic behavior"</f>
        <v>containing written sexually explicit / sado-masochistic behavior</v>
      </c>
    </row>
    <row r="393" ht="14.25" customHeight="1">
      <c r="A393" s="1" t="str">
        <f>"The Dope Game of Fat Cat &amp;amp; Pappy Mason"</f>
        <v>The Dope Game of Fat Cat &amp;amp; Pappy Mason</v>
      </c>
      <c r="B393" s="1" t="str">
        <f t="shared" si="341"/>
        <v>10632</v>
      </c>
      <c r="C393" s="1" t="str">
        <f t="shared" si="342"/>
        <v>Book</v>
      </c>
      <c r="D393" s="1" t="str">
        <f>"Seth Ferranti"</f>
        <v>Seth Ferranti</v>
      </c>
      <c r="E393" s="1" t="str">
        <f t="shared" si="323"/>
        <v>31</v>
      </c>
      <c r="F393" s="1" t="str">
        <f t="shared" si="324"/>
        <v>Book</v>
      </c>
      <c r="G393" s="1" t="str">
        <f>"46378"</f>
        <v>46378</v>
      </c>
      <c r="H393" s="1" t="str">
        <f t="shared" si="343"/>
        <v>2022-05-17</v>
      </c>
      <c r="I393" s="1" t="str">
        <f t="shared" si="6"/>
        <v>2</v>
      </c>
      <c r="J393" s="1" t="str">
        <f t="shared" si="7"/>
        <v>Rejected All</v>
      </c>
      <c r="L393" s="1" t="str">
        <f>"46823"</f>
        <v>46823</v>
      </c>
      <c r="M393" s="1" t="str">
        <f>"9"</f>
        <v>9</v>
      </c>
      <c r="N393" s="1" t="str">
        <f>"describing or encouraging physical violence or group disruption"</f>
        <v>describing or encouraging physical violence or group disruption</v>
      </c>
    </row>
    <row r="394" ht="14.25" customHeight="1">
      <c r="A394" s="1" t="str">
        <f>"Call Girl in Another World"</f>
        <v>Call Girl in Another World</v>
      </c>
      <c r="B394" s="1" t="str">
        <f t="shared" si="341"/>
        <v>10632</v>
      </c>
      <c r="C394" s="1" t="str">
        <f t="shared" si="342"/>
        <v>Book</v>
      </c>
      <c r="D394" s="1" t="str">
        <f>"Mashiro Morios"</f>
        <v>Mashiro Morios</v>
      </c>
      <c r="E394" s="1" t="str">
        <f t="shared" si="323"/>
        <v>31</v>
      </c>
      <c r="F394" s="1" t="str">
        <f t="shared" si="324"/>
        <v>Book</v>
      </c>
      <c r="G394" s="1" t="str">
        <f>"46382"</f>
        <v>46382</v>
      </c>
      <c r="H394" s="1" t="str">
        <f t="shared" si="343"/>
        <v>2022-05-17</v>
      </c>
      <c r="I394" s="1" t="str">
        <f t="shared" si="6"/>
        <v>2</v>
      </c>
      <c r="J394" s="1" t="str">
        <f t="shared" si="7"/>
        <v>Rejected All</v>
      </c>
      <c r="L394" s="1" t="str">
        <f>"46827"</f>
        <v>46827</v>
      </c>
      <c r="M394" s="1" t="str">
        <f>"42"</f>
        <v>42</v>
      </c>
      <c r="N394" s="1" t="str">
        <f>"containing pictorially explicit nudity"</f>
        <v>containing pictorially explicit nudity</v>
      </c>
    </row>
    <row r="395" ht="14.25" customHeight="1">
      <c r="A395" s="1" t="str">
        <f>"Street Legends"</f>
        <v>Street Legends</v>
      </c>
      <c r="B395" s="1" t="str">
        <f t="shared" ref="B395:B396" si="344">"0"</f>
        <v>0</v>
      </c>
      <c r="C395" s="1" t="str">
        <f t="shared" ref="C395:C396" si="345">"n/a"</f>
        <v>n/a</v>
      </c>
      <c r="D395" s="1" t="str">
        <f t="shared" ref="D395:D396" si="346">"Seth Ferranti"</f>
        <v>Seth Ferranti</v>
      </c>
      <c r="E395" s="1" t="str">
        <f t="shared" si="323"/>
        <v>31</v>
      </c>
      <c r="F395" s="1" t="str">
        <f t="shared" si="324"/>
        <v>Book</v>
      </c>
      <c r="G395" s="1" t="str">
        <f>"32992"</f>
        <v>32992</v>
      </c>
      <c r="H395" s="1" t="str">
        <f t="shared" si="343"/>
        <v>2022-05-17</v>
      </c>
      <c r="I395" s="1" t="str">
        <f t="shared" si="6"/>
        <v>2</v>
      </c>
      <c r="J395" s="1" t="str">
        <f t="shared" si="7"/>
        <v>Rejected All</v>
      </c>
      <c r="L395" s="1" t="str">
        <f>"33039"</f>
        <v>33039</v>
      </c>
      <c r="M395" s="1" t="str">
        <f t="shared" ref="M395:M396" si="347">"10"</f>
        <v>10</v>
      </c>
      <c r="N395" s="1" t="str">
        <f t="shared" ref="N395:N396" si="348">"encouraging or instructing on the commision of criminal activity"</f>
        <v>encouraging or instructing on the commision of criminal activity</v>
      </c>
    </row>
    <row r="396" ht="14.25" customHeight="1">
      <c r="A396" s="1" t="str">
        <f>"Street Legend 2"</f>
        <v>Street Legend 2</v>
      </c>
      <c r="B396" s="1" t="str">
        <f t="shared" si="344"/>
        <v>0</v>
      </c>
      <c r="C396" s="1" t="str">
        <f t="shared" si="345"/>
        <v>n/a</v>
      </c>
      <c r="D396" s="1" t="str">
        <f t="shared" si="346"/>
        <v>Seth Ferranti</v>
      </c>
      <c r="E396" s="1" t="str">
        <f t="shared" si="323"/>
        <v>31</v>
      </c>
      <c r="F396" s="1" t="str">
        <f t="shared" si="324"/>
        <v>Book</v>
      </c>
      <c r="G396" s="1" t="str">
        <f>"35608"</f>
        <v>35608</v>
      </c>
      <c r="H396" s="1" t="str">
        <f t="shared" si="343"/>
        <v>2022-05-17</v>
      </c>
      <c r="I396" s="1" t="str">
        <f t="shared" si="6"/>
        <v>2</v>
      </c>
      <c r="J396" s="1" t="str">
        <f t="shared" si="7"/>
        <v>Rejected All</v>
      </c>
      <c r="L396" s="1" t="str">
        <f>"35699"</f>
        <v>35699</v>
      </c>
      <c r="M396" s="1" t="str">
        <f t="shared" si="347"/>
        <v>10</v>
      </c>
      <c r="N396" s="1" t="str">
        <f t="shared" si="348"/>
        <v>encouraging or instructing on the commision of criminal activity</v>
      </c>
    </row>
    <row r="397" ht="14.25" customHeight="1">
      <c r="A397" s="1" t="str">
        <f>"Outlaw 1% Letter Lizards Gazette Jan 2021"</f>
        <v>Outlaw 1% Letter Lizards Gazette Jan 2021</v>
      </c>
      <c r="B397" s="1" t="str">
        <f t="shared" ref="B397:B398" si="349">"10634"</f>
        <v>10634</v>
      </c>
      <c r="C397" s="1" t="str">
        <f t="shared" ref="C397:C398" si="350">"News Letter "</f>
        <v>News Letter </v>
      </c>
      <c r="D397" s="1" t="str">
        <f t="shared" ref="D397:D398" si="351">"N/A"</f>
        <v>N/A</v>
      </c>
      <c r="E397" s="1" t="str">
        <f t="shared" si="323"/>
        <v>31</v>
      </c>
      <c r="F397" s="1" t="str">
        <f t="shared" si="324"/>
        <v>Book</v>
      </c>
      <c r="G397" s="1" t="str">
        <f>"46381"</f>
        <v>46381</v>
      </c>
      <c r="H397" s="1" t="str">
        <f t="shared" si="343"/>
        <v>2022-05-17</v>
      </c>
      <c r="I397" s="1" t="str">
        <f t="shared" si="6"/>
        <v>2</v>
      </c>
      <c r="J397" s="1" t="str">
        <f t="shared" si="7"/>
        <v>Rejected All</v>
      </c>
      <c r="L397" s="1" t="str">
        <f>"46826"</f>
        <v>46826</v>
      </c>
      <c r="M397" s="1" t="str">
        <f t="shared" ref="M397:M398" si="352">"9"</f>
        <v>9</v>
      </c>
      <c r="N397" s="1" t="str">
        <f t="shared" ref="N397:N398" si="353">"describing or encouraging physical violence or group disruption"</f>
        <v>describing or encouraging physical violence or group disruption</v>
      </c>
    </row>
    <row r="398" ht="14.25" customHeight="1">
      <c r="A398" s="1" t="str">
        <f>"Outlaw 1% Letter Lizards Lounge Gazette Birmingham 83"</f>
        <v>Outlaw 1% Letter Lizards Lounge Gazette Birmingham 83</v>
      </c>
      <c r="B398" s="1" t="str">
        <f t="shared" si="349"/>
        <v>10634</v>
      </c>
      <c r="C398" s="1" t="str">
        <f t="shared" si="350"/>
        <v>News Letter </v>
      </c>
      <c r="D398" s="1" t="str">
        <f t="shared" si="351"/>
        <v>N/A</v>
      </c>
      <c r="E398" s="1" t="str">
        <f>"32"</f>
        <v>32</v>
      </c>
      <c r="F398" s="1" t="str">
        <f>"Magazine/Newspaper"</f>
        <v>Magazine/Newspaper</v>
      </c>
      <c r="G398" s="1" t="str">
        <f>"46379"</f>
        <v>46379</v>
      </c>
      <c r="H398" s="1" t="str">
        <f t="shared" si="343"/>
        <v>2022-05-17</v>
      </c>
      <c r="I398" s="1" t="str">
        <f t="shared" si="6"/>
        <v>2</v>
      </c>
      <c r="J398" s="1" t="str">
        <f t="shared" si="7"/>
        <v>Rejected All</v>
      </c>
      <c r="L398" s="1" t="str">
        <f>"46824"</f>
        <v>46824</v>
      </c>
      <c r="M398" s="1" t="str">
        <f t="shared" si="352"/>
        <v>9</v>
      </c>
      <c r="N398" s="1" t="str">
        <f t="shared" si="353"/>
        <v>describing or encouraging physical violence or group disruption</v>
      </c>
    </row>
    <row r="399" ht="14.25" customHeight="1">
      <c r="A399" s="1" t="str">
        <f>"The Naked Truth About Hedonism II"</f>
        <v>The Naked Truth About Hedonism II</v>
      </c>
      <c r="B399" s="1" t="str">
        <f>"10632"</f>
        <v>10632</v>
      </c>
      <c r="C399" s="1" t="str">
        <f>"Book"</f>
        <v>Book</v>
      </c>
      <c r="D399" s="1" t="str">
        <f>"Chris Santilli"</f>
        <v>Chris Santilli</v>
      </c>
      <c r="E399" s="1" t="str">
        <f t="shared" ref="E399:E406" si="354">"31"</f>
        <v>31</v>
      </c>
      <c r="F399" s="1" t="str">
        <f t="shared" ref="F399:F406" si="355">"Book"</f>
        <v>Book</v>
      </c>
      <c r="G399" s="1" t="str">
        <f>"46383"</f>
        <v>46383</v>
      </c>
      <c r="H399" s="1" t="str">
        <f t="shared" ref="H399:H402" si="356">"2022-06-07"</f>
        <v>2022-06-07</v>
      </c>
      <c r="I399" s="1" t="str">
        <f t="shared" si="6"/>
        <v>2</v>
      </c>
      <c r="J399" s="1" t="str">
        <f t="shared" si="7"/>
        <v>Rejected All</v>
      </c>
      <c r="L399" s="1" t="str">
        <f>"46829"</f>
        <v>46829</v>
      </c>
      <c r="M399" s="1" t="str">
        <f>"42"</f>
        <v>42</v>
      </c>
      <c r="N399" s="1" t="str">
        <f>"containing pictorially explicit nudity"</f>
        <v>containing pictorially explicit nudity</v>
      </c>
    </row>
    <row r="400" ht="14.25" customHeight="1">
      <c r="A400" s="1" t="str">
        <f>"The UCC Connection"</f>
        <v>The UCC Connection</v>
      </c>
      <c r="B400" s="1" t="str">
        <f t="shared" ref="B400:B402" si="357">"0"</f>
        <v>0</v>
      </c>
      <c r="C400" s="1" t="str">
        <f t="shared" ref="C400:C402" si="358">"n/a"</f>
        <v>n/a</v>
      </c>
      <c r="D400" s="1" t="str">
        <f>"We the People"</f>
        <v>We the People</v>
      </c>
      <c r="E400" s="1" t="str">
        <f t="shared" si="354"/>
        <v>31</v>
      </c>
      <c r="F400" s="1" t="str">
        <f t="shared" si="355"/>
        <v>Book</v>
      </c>
      <c r="G400" s="1" t="str">
        <f>"44936"</f>
        <v>44936</v>
      </c>
      <c r="H400" s="1" t="str">
        <f t="shared" si="356"/>
        <v>2022-06-07</v>
      </c>
      <c r="I400" s="1" t="str">
        <f t="shared" si="6"/>
        <v>2</v>
      </c>
      <c r="J400" s="1" t="str">
        <f t="shared" si="7"/>
        <v>Rejected All</v>
      </c>
      <c r="L400" s="1" t="str">
        <f>"45349"</f>
        <v>45349</v>
      </c>
      <c r="M400" s="1" t="str">
        <f>"50"</f>
        <v>50</v>
      </c>
      <c r="N400" s="1" t="str">
        <f>"containing material influenced by &amp;quot;sovereign citizen&amp;quot; ideology"</f>
        <v>containing material influenced by &amp;quot;sovereign citizen&amp;quot; ideology</v>
      </c>
    </row>
    <row r="401" ht="14.25" customHeight="1">
      <c r="A401" s="1" t="str">
        <f t="shared" ref="A401:A402" si="359">"Dead Men Tell No Tales"</f>
        <v>Dead Men Tell No Tales</v>
      </c>
      <c r="B401" s="1" t="str">
        <f t="shared" si="357"/>
        <v>0</v>
      </c>
      <c r="C401" s="1" t="str">
        <f t="shared" si="358"/>
        <v>n/a</v>
      </c>
      <c r="D401" s="1" t="str">
        <f t="shared" ref="D401:D402" si="360">"Dylan Howard"</f>
        <v>Dylan Howard</v>
      </c>
      <c r="E401" s="1" t="str">
        <f t="shared" si="354"/>
        <v>31</v>
      </c>
      <c r="F401" s="1" t="str">
        <f t="shared" si="355"/>
        <v>Book</v>
      </c>
      <c r="G401" s="1" t="str">
        <f t="shared" ref="G401:G402" si="361">"46295"</f>
        <v>46295</v>
      </c>
      <c r="H401" s="1" t="str">
        <f t="shared" si="356"/>
        <v>2022-06-07</v>
      </c>
      <c r="I401" s="1" t="str">
        <f t="shared" si="6"/>
        <v>2</v>
      </c>
      <c r="J401" s="1" t="str">
        <f t="shared" si="7"/>
        <v>Rejected All</v>
      </c>
      <c r="L401" s="1" t="str">
        <f t="shared" ref="L401:L402" si="362">"46732"</f>
        <v>46732</v>
      </c>
      <c r="M401" s="1" t="str">
        <f>"43"</f>
        <v>43</v>
      </c>
      <c r="N401" s="1" t="str">
        <f>"containing written sexually explicit / sado-masochistic behavior"</f>
        <v>containing written sexually explicit / sado-masochistic behavior</v>
      </c>
    </row>
    <row r="402" ht="14.25" customHeight="1">
      <c r="A402" s="1" t="str">
        <f t="shared" si="359"/>
        <v>Dead Men Tell No Tales</v>
      </c>
      <c r="B402" s="1" t="str">
        <f t="shared" si="357"/>
        <v>0</v>
      </c>
      <c r="C402" s="1" t="str">
        <f t="shared" si="358"/>
        <v>n/a</v>
      </c>
      <c r="D402" s="1" t="str">
        <f t="shared" si="360"/>
        <v>Dylan Howard</v>
      </c>
      <c r="E402" s="1" t="str">
        <f t="shared" si="354"/>
        <v>31</v>
      </c>
      <c r="F402" s="1" t="str">
        <f t="shared" si="355"/>
        <v>Book</v>
      </c>
      <c r="G402" s="1" t="str">
        <f t="shared" si="361"/>
        <v>46295</v>
      </c>
      <c r="H402" s="1" t="str">
        <f t="shared" si="356"/>
        <v>2022-06-07</v>
      </c>
      <c r="I402" s="1" t="str">
        <f t="shared" si="6"/>
        <v>2</v>
      </c>
      <c r="J402" s="1" t="str">
        <f t="shared" si="7"/>
        <v>Rejected All</v>
      </c>
      <c r="L402" s="1" t="str">
        <f t="shared" si="362"/>
        <v>46732</v>
      </c>
      <c r="M402" s="1" t="str">
        <f>"46"</f>
        <v>46</v>
      </c>
      <c r="N402" s="1" t="str">
        <f>"containing written sexually explicit material involving the use of force or non-consent"</f>
        <v>containing written sexually explicit material involving the use of force or non-consent</v>
      </c>
    </row>
    <row r="403" ht="14.25" customHeight="1">
      <c r="A403" s="1" t="str">
        <f>"Handgun Hunting: SA Comprehensive Guide to Choosing and Using the Right Firearms for Big and Small Game"</f>
        <v>Handgun Hunting: SA Comprehensive Guide to Choosing and Using the Right Firearms for Big and Small Game</v>
      </c>
      <c r="B403" s="1" t="str">
        <f t="shared" ref="B403:B406" si="363">"10632"</f>
        <v>10632</v>
      </c>
      <c r="C403" s="1" t="str">
        <f t="shared" ref="C403:C406" si="364">"Book"</f>
        <v>Book</v>
      </c>
      <c r="D403" s="1" t="str">
        <f>"Kat Ainsworth "</f>
        <v>Kat Ainsworth </v>
      </c>
      <c r="E403" s="1" t="str">
        <f t="shared" si="354"/>
        <v>31</v>
      </c>
      <c r="F403" s="1" t="str">
        <f t="shared" si="355"/>
        <v>Book</v>
      </c>
      <c r="G403" s="1" t="str">
        <f>"46386"</f>
        <v>46386</v>
      </c>
      <c r="H403" s="1" t="str">
        <f t="shared" ref="H403:H407" si="365">"2022-06-21"</f>
        <v>2022-06-21</v>
      </c>
      <c r="I403" s="1" t="str">
        <f t="shared" si="6"/>
        <v>2</v>
      </c>
      <c r="J403" s="1" t="str">
        <f t="shared" si="7"/>
        <v>Rejected All</v>
      </c>
      <c r="L403" s="1" t="str">
        <f>"46832"</f>
        <v>46832</v>
      </c>
      <c r="M403" s="1" t="str">
        <f t="shared" ref="M403:M404" si="366">"5"</f>
        <v>5</v>
      </c>
      <c r="N403" s="1" t="str">
        <f t="shared" ref="N403:N404" si="367">"containing weapon construction procedures"</f>
        <v>containing weapon construction procedures</v>
      </c>
    </row>
    <row r="404" ht="14.25" customHeight="1">
      <c r="A404" s="1" t="str">
        <f>"Gun Care and Repair"</f>
        <v>Gun Care and Repair</v>
      </c>
      <c r="B404" s="1" t="str">
        <f t="shared" si="363"/>
        <v>10632</v>
      </c>
      <c r="C404" s="1" t="str">
        <f t="shared" si="364"/>
        <v>Book</v>
      </c>
      <c r="D404" s="1" t="str">
        <f>"Charles Edward Chapel"</f>
        <v>Charles Edward Chapel</v>
      </c>
      <c r="E404" s="1" t="str">
        <f t="shared" si="354"/>
        <v>31</v>
      </c>
      <c r="F404" s="1" t="str">
        <f t="shared" si="355"/>
        <v>Book</v>
      </c>
      <c r="G404" s="1" t="str">
        <f>"46387"</f>
        <v>46387</v>
      </c>
      <c r="H404" s="1" t="str">
        <f t="shared" si="365"/>
        <v>2022-06-21</v>
      </c>
      <c r="I404" s="1" t="str">
        <f t="shared" si="6"/>
        <v>2</v>
      </c>
      <c r="J404" s="1" t="str">
        <f t="shared" si="7"/>
        <v>Rejected All</v>
      </c>
      <c r="L404" s="1" t="str">
        <f>"46833"</f>
        <v>46833</v>
      </c>
      <c r="M404" s="1" t="str">
        <f t="shared" si="366"/>
        <v>5</v>
      </c>
      <c r="N404" s="1" t="str">
        <f t="shared" si="367"/>
        <v>containing weapon construction procedures</v>
      </c>
    </row>
    <row r="405" ht="14.25" customHeight="1">
      <c r="A405" s="1" t="str">
        <f>"Teaches Japanese Shibari"</f>
        <v>Teaches Japanese Shibari</v>
      </c>
      <c r="B405" s="1" t="str">
        <f t="shared" si="363"/>
        <v>10632</v>
      </c>
      <c r="C405" s="1" t="str">
        <f t="shared" si="364"/>
        <v>Book</v>
      </c>
      <c r="D405" s="1" t="str">
        <f>"Kahboom"</f>
        <v>Kahboom</v>
      </c>
      <c r="E405" s="1" t="str">
        <f t="shared" si="354"/>
        <v>31</v>
      </c>
      <c r="F405" s="1" t="str">
        <f t="shared" si="355"/>
        <v>Book</v>
      </c>
      <c r="G405" s="1" t="str">
        <f>"46405"</f>
        <v>46405</v>
      </c>
      <c r="H405" s="1" t="str">
        <f t="shared" si="365"/>
        <v>2022-06-21</v>
      </c>
      <c r="I405" s="1" t="str">
        <f t="shared" si="6"/>
        <v>2</v>
      </c>
      <c r="J405" s="1" t="str">
        <f t="shared" si="7"/>
        <v>Rejected All</v>
      </c>
      <c r="L405" s="1" t="str">
        <f>"46851"</f>
        <v>46851</v>
      </c>
      <c r="M405" s="1" t="str">
        <f>"42"</f>
        <v>42</v>
      </c>
      <c r="N405" s="1" t="str">
        <f>"containing pictorially explicit nudity"</f>
        <v>containing pictorially explicit nudity</v>
      </c>
    </row>
    <row r="406" ht="14.25" customHeight="1">
      <c r="A406" s="1" t="str">
        <f>"We the People "</f>
        <v>We the People </v>
      </c>
      <c r="B406" s="1" t="str">
        <f t="shared" si="363"/>
        <v>10632</v>
      </c>
      <c r="C406" s="1" t="str">
        <f t="shared" si="364"/>
        <v>Book</v>
      </c>
      <c r="D406" s="1" t="str">
        <f>"National Liberty Alliance"</f>
        <v>National Liberty Alliance</v>
      </c>
      <c r="E406" s="1" t="str">
        <f t="shared" si="354"/>
        <v>31</v>
      </c>
      <c r="F406" s="1" t="str">
        <f t="shared" si="355"/>
        <v>Book</v>
      </c>
      <c r="G406" s="1" t="str">
        <f>"46409"</f>
        <v>46409</v>
      </c>
      <c r="H406" s="1" t="str">
        <f t="shared" si="365"/>
        <v>2022-06-21</v>
      </c>
      <c r="I406" s="1" t="str">
        <f t="shared" si="6"/>
        <v>2</v>
      </c>
      <c r="J406" s="1" t="str">
        <f t="shared" si="7"/>
        <v>Rejected All</v>
      </c>
      <c r="L406" s="1" t="str">
        <f>"46855"</f>
        <v>46855</v>
      </c>
      <c r="M406" s="1" t="str">
        <f>"50"</f>
        <v>50</v>
      </c>
      <c r="N406" s="1" t="str">
        <f>"containing material influenced by &amp;quot;sovereign citizen&amp;quot; ideology"</f>
        <v>containing material influenced by &amp;quot;sovereign citizen&amp;quot; ideology</v>
      </c>
    </row>
    <row r="407" ht="14.25" customHeight="1">
      <c r="A407" s="1" t="str">
        <f>"Penthouse Magazine "</f>
        <v>Penthouse Magazine </v>
      </c>
      <c r="B407" s="1" t="str">
        <f>"10633"</f>
        <v>10633</v>
      </c>
      <c r="C407" s="1" t="str">
        <f>"Magazine "</f>
        <v>Magazine </v>
      </c>
      <c r="D407" s="1" t="str">
        <f>"Penthouse Magazine "</f>
        <v>Penthouse Magazine </v>
      </c>
      <c r="E407" s="1" t="str">
        <f>"32"</f>
        <v>32</v>
      </c>
      <c r="F407" s="1" t="str">
        <f>"Magazine/Newspaper"</f>
        <v>Magazine/Newspaper</v>
      </c>
      <c r="G407" s="1" t="str">
        <f>"46388"</f>
        <v>46388</v>
      </c>
      <c r="H407" s="1" t="str">
        <f t="shared" si="365"/>
        <v>2022-06-21</v>
      </c>
      <c r="I407" s="1" t="str">
        <f t="shared" si="6"/>
        <v>2</v>
      </c>
      <c r="J407" s="1" t="str">
        <f t="shared" si="7"/>
        <v>Rejected All</v>
      </c>
      <c r="L407" s="1" t="str">
        <f>"46834"</f>
        <v>46834</v>
      </c>
      <c r="M407" s="1" t="str">
        <f>"43"</f>
        <v>43</v>
      </c>
      <c r="N407" s="1" t="str">
        <f>"containing written sexually explicit / sado-masochistic behavior"</f>
        <v>containing written sexually explicit / sado-masochistic behavior</v>
      </c>
    </row>
    <row r="408" ht="14.25" customHeight="1">
      <c r="A408" s="1" t="str">
        <f>"Revelations"</f>
        <v>Revelations</v>
      </c>
      <c r="B408" s="1" t="str">
        <f t="shared" ref="B408:B409" si="368">"0"</f>
        <v>0</v>
      </c>
      <c r="C408" s="1" t="str">
        <f t="shared" ref="C408:C409" si="369">"n/a"</f>
        <v>n/a</v>
      </c>
      <c r="D408" s="1" t="str">
        <f>"Justice Howard"</f>
        <v>Justice Howard</v>
      </c>
      <c r="E408" s="1" t="str">
        <f t="shared" ref="E408:E433" si="370">"31"</f>
        <v>31</v>
      </c>
      <c r="F408" s="1" t="str">
        <f t="shared" ref="F408:F433" si="371">"Book"</f>
        <v>Book</v>
      </c>
      <c r="G408" s="1" t="str">
        <f>"41420"</f>
        <v>41420</v>
      </c>
      <c r="H408" s="1" t="str">
        <f t="shared" ref="H408:H414" si="372">"2022-07-05"</f>
        <v>2022-07-05</v>
      </c>
      <c r="I408" s="1" t="str">
        <f t="shared" si="6"/>
        <v>2</v>
      </c>
      <c r="J408" s="1" t="str">
        <f t="shared" si="7"/>
        <v>Rejected All</v>
      </c>
      <c r="L408" s="1" t="str">
        <f>"46862"</f>
        <v>46862</v>
      </c>
      <c r="M408" s="1" t="str">
        <f t="shared" ref="M408:M409" si="373">"42"</f>
        <v>42</v>
      </c>
      <c r="N408" s="1" t="str">
        <f t="shared" ref="N408:N409" si="374">"containing pictorially explicit nudity"</f>
        <v>containing pictorially explicit nudity</v>
      </c>
    </row>
    <row r="409" ht="14.25" customHeight="1">
      <c r="A409" s="1" t="str">
        <f>"A Curious Hisorty of Sex"</f>
        <v>A Curious Hisorty of Sex</v>
      </c>
      <c r="B409" s="1" t="str">
        <f t="shared" si="368"/>
        <v>0</v>
      </c>
      <c r="C409" s="1" t="str">
        <f t="shared" si="369"/>
        <v>n/a</v>
      </c>
      <c r="D409" s="1" t="str">
        <f>"Kate Lister "</f>
        <v>Kate Lister </v>
      </c>
      <c r="E409" s="1" t="str">
        <f t="shared" si="370"/>
        <v>31</v>
      </c>
      <c r="F409" s="1" t="str">
        <f t="shared" si="371"/>
        <v>Book</v>
      </c>
      <c r="G409" s="1" t="str">
        <f>"46416"</f>
        <v>46416</v>
      </c>
      <c r="H409" s="1" t="str">
        <f t="shared" si="372"/>
        <v>2022-07-05</v>
      </c>
      <c r="I409" s="1" t="str">
        <f t="shared" si="6"/>
        <v>2</v>
      </c>
      <c r="J409" s="1" t="str">
        <f t="shared" si="7"/>
        <v>Rejected All</v>
      </c>
      <c r="L409" s="1" t="str">
        <f>"46864"</f>
        <v>46864</v>
      </c>
      <c r="M409" s="1" t="str">
        <f t="shared" si="373"/>
        <v>42</v>
      </c>
      <c r="N409" s="1" t="str">
        <f t="shared" si="374"/>
        <v>containing pictorially explicit nudity</v>
      </c>
    </row>
    <row r="410" ht="14.25" customHeight="1">
      <c r="A410" s="1" t="str">
        <f>"The Secret Relationship Between Blacks and Jews "</f>
        <v>The Secret Relationship Between Blacks and Jews </v>
      </c>
      <c r="B410" s="1" t="str">
        <f t="shared" ref="B410:B413" si="375">"10642"</f>
        <v>10642</v>
      </c>
      <c r="C410" s="1" t="str">
        <f t="shared" ref="C410:C413" si="376">"Publication "</f>
        <v>Publication </v>
      </c>
      <c r="D410" s="1" t="str">
        <f t="shared" ref="D410:D412" si="377">"The Nation of Islam"</f>
        <v>The Nation of Islam</v>
      </c>
      <c r="E410" s="1" t="str">
        <f t="shared" si="370"/>
        <v>31</v>
      </c>
      <c r="F410" s="1" t="str">
        <f t="shared" si="371"/>
        <v>Book</v>
      </c>
      <c r="G410" s="1" t="str">
        <f>"46417"</f>
        <v>46417</v>
      </c>
      <c r="H410" s="1" t="str">
        <f t="shared" si="372"/>
        <v>2022-07-05</v>
      </c>
      <c r="I410" s="1" t="str">
        <f t="shared" si="6"/>
        <v>2</v>
      </c>
      <c r="J410" s="1" t="str">
        <f t="shared" si="7"/>
        <v>Rejected All</v>
      </c>
      <c r="L410" s="1" t="str">
        <f>"46865"</f>
        <v>46865</v>
      </c>
      <c r="M410" s="1" t="str">
        <f t="shared" ref="M410:M412" si="378">"49"</f>
        <v>49</v>
      </c>
      <c r="N410" s="1" t="s">
        <v>0</v>
      </c>
    </row>
    <row r="411" ht="14.25" customHeight="1">
      <c r="A411" s="1" t="str">
        <f>"The Secret Relationship Between Blacks and JewsVolume 2"</f>
        <v>The Secret Relationship Between Blacks and JewsVolume 2</v>
      </c>
      <c r="B411" s="1" t="str">
        <f t="shared" si="375"/>
        <v>10642</v>
      </c>
      <c r="C411" s="1" t="str">
        <f t="shared" si="376"/>
        <v>Publication </v>
      </c>
      <c r="D411" s="1" t="str">
        <f t="shared" si="377"/>
        <v>The Nation of Islam</v>
      </c>
      <c r="E411" s="1" t="str">
        <f t="shared" si="370"/>
        <v>31</v>
      </c>
      <c r="F411" s="1" t="str">
        <f t="shared" si="371"/>
        <v>Book</v>
      </c>
      <c r="G411" s="1" t="str">
        <f>"46418"</f>
        <v>46418</v>
      </c>
      <c r="H411" s="1" t="str">
        <f t="shared" si="372"/>
        <v>2022-07-05</v>
      </c>
      <c r="I411" s="1" t="str">
        <f t="shared" si="6"/>
        <v>2</v>
      </c>
      <c r="J411" s="1" t="str">
        <f t="shared" si="7"/>
        <v>Rejected All</v>
      </c>
      <c r="L411" s="1" t="str">
        <f>"46866"</f>
        <v>46866</v>
      </c>
      <c r="M411" s="1" t="str">
        <f t="shared" si="378"/>
        <v>49</v>
      </c>
      <c r="N411" s="1" t="s">
        <v>0</v>
      </c>
    </row>
    <row r="412" ht="14.25" customHeight="1">
      <c r="A412" s="1" t="str">
        <f>"The Secret Relationship Between Blacks and Jews Volume 3"</f>
        <v>The Secret Relationship Between Blacks and Jews Volume 3</v>
      </c>
      <c r="B412" s="1" t="str">
        <f t="shared" si="375"/>
        <v>10642</v>
      </c>
      <c r="C412" s="1" t="str">
        <f t="shared" si="376"/>
        <v>Publication </v>
      </c>
      <c r="D412" s="1" t="str">
        <f t="shared" si="377"/>
        <v>The Nation of Islam</v>
      </c>
      <c r="E412" s="1" t="str">
        <f t="shared" si="370"/>
        <v>31</v>
      </c>
      <c r="F412" s="1" t="str">
        <f t="shared" si="371"/>
        <v>Book</v>
      </c>
      <c r="G412" s="1" t="str">
        <f>"46419"</f>
        <v>46419</v>
      </c>
      <c r="H412" s="1" t="str">
        <f t="shared" si="372"/>
        <v>2022-07-05</v>
      </c>
      <c r="I412" s="1" t="str">
        <f t="shared" si="6"/>
        <v>2</v>
      </c>
      <c r="J412" s="1" t="str">
        <f t="shared" si="7"/>
        <v>Rejected All</v>
      </c>
      <c r="L412" s="1" t="str">
        <f>"46867"</f>
        <v>46867</v>
      </c>
      <c r="M412" s="1" t="str">
        <f t="shared" si="378"/>
        <v>49</v>
      </c>
      <c r="N412" s="1" t="s">
        <v>0</v>
      </c>
    </row>
    <row r="413" ht="14.25" customHeight="1">
      <c r="A413" s="1" t="str">
        <f>"Dark Dreams"</f>
        <v>Dark Dreams</v>
      </c>
      <c r="B413" s="1" t="str">
        <f t="shared" si="375"/>
        <v>10642</v>
      </c>
      <c r="C413" s="1" t="str">
        <f t="shared" si="376"/>
        <v>Publication </v>
      </c>
      <c r="D413" s="1" t="str">
        <f>"Roy  Hazelwood "</f>
        <v>Roy  Hazelwood </v>
      </c>
      <c r="E413" s="1" t="str">
        <f t="shared" si="370"/>
        <v>31</v>
      </c>
      <c r="F413" s="1" t="str">
        <f t="shared" si="371"/>
        <v>Book</v>
      </c>
      <c r="G413" s="1" t="str">
        <f>"46422"</f>
        <v>46422</v>
      </c>
      <c r="H413" s="1" t="str">
        <f t="shared" si="372"/>
        <v>2022-07-05</v>
      </c>
      <c r="I413" s="1" t="str">
        <f t="shared" si="6"/>
        <v>2</v>
      </c>
      <c r="J413" s="1" t="str">
        <f t="shared" si="7"/>
        <v>Rejected All</v>
      </c>
      <c r="L413" s="1" t="str">
        <f>"46870"</f>
        <v>46870</v>
      </c>
      <c r="M413" s="1" t="str">
        <f>"43"</f>
        <v>43</v>
      </c>
      <c r="N413" s="1" t="str">
        <f>"containing written sexually explicit / sado-masochistic behavior"</f>
        <v>containing written sexually explicit / sado-masochistic behavior</v>
      </c>
    </row>
    <row r="414" ht="14.25" customHeight="1">
      <c r="A414" s="1" t="str">
        <f>"REDEMPTION Manual 5 Series / The Uniform Comercial Code"</f>
        <v>REDEMPTION Manual 5 Series / The Uniform Comercial Code</v>
      </c>
      <c r="B414" s="1" t="str">
        <f>"10641"</f>
        <v>10641</v>
      </c>
      <c r="C414" s="1" t="str">
        <f>"Supplemental "</f>
        <v>Supplemental </v>
      </c>
      <c r="D414" s="1" t="str">
        <f>"N/A"</f>
        <v>N/A</v>
      </c>
      <c r="E414" s="1" t="str">
        <f t="shared" si="370"/>
        <v>31</v>
      </c>
      <c r="F414" s="1" t="str">
        <f t="shared" si="371"/>
        <v>Book</v>
      </c>
      <c r="G414" s="1" t="str">
        <f>"46415"</f>
        <v>46415</v>
      </c>
      <c r="H414" s="1" t="str">
        <f t="shared" si="372"/>
        <v>2022-07-05</v>
      </c>
      <c r="I414" s="1" t="str">
        <f t="shared" si="6"/>
        <v>2</v>
      </c>
      <c r="J414" s="1" t="str">
        <f t="shared" si="7"/>
        <v>Rejected All</v>
      </c>
      <c r="L414" s="1" t="str">
        <f>"46863"</f>
        <v>46863</v>
      </c>
      <c r="M414" s="1" t="str">
        <f>"50"</f>
        <v>50</v>
      </c>
      <c r="N414" s="1" t="str">
        <f>"containing material influenced by &amp;quot;sovereign citizen&amp;quot; ideology"</f>
        <v>containing material influenced by &amp;quot;sovereign citizen&amp;quot; ideology</v>
      </c>
    </row>
    <row r="415" ht="14.25" customHeight="1">
      <c r="A415" s="1" t="str">
        <f>"The Sensuous Frazetta"</f>
        <v>The Sensuous Frazetta</v>
      </c>
      <c r="B415" s="1" t="str">
        <f>"9944"</f>
        <v>9944</v>
      </c>
      <c r="C415" s="1" t="str">
        <f>"The Vanguard Frazetta Classic"</f>
        <v>The Vanguard Frazetta Classic</v>
      </c>
      <c r="D415" s="1" t="str">
        <f>"J. David Spurlock &amp;amp; Frank Frazetta"</f>
        <v>J. David Spurlock &amp;amp; Frank Frazetta</v>
      </c>
      <c r="E415" s="1" t="str">
        <f t="shared" si="370"/>
        <v>31</v>
      </c>
      <c r="F415" s="1" t="str">
        <f t="shared" si="371"/>
        <v>Book</v>
      </c>
      <c r="G415" s="1" t="str">
        <f>"44955"</f>
        <v>44955</v>
      </c>
      <c r="H415" s="1" t="str">
        <f t="shared" ref="H415:H416" si="379">"2022-08-02"</f>
        <v>2022-08-02</v>
      </c>
      <c r="I415" s="1" t="str">
        <f t="shared" si="6"/>
        <v>2</v>
      </c>
      <c r="J415" s="1" t="str">
        <f t="shared" si="7"/>
        <v>Rejected All</v>
      </c>
      <c r="L415" s="1" t="str">
        <f>"45367"</f>
        <v>45367</v>
      </c>
      <c r="M415" s="1" t="str">
        <f t="shared" ref="M415:M416" si="380">"42"</f>
        <v>42</v>
      </c>
      <c r="N415" s="1" t="str">
        <f t="shared" ref="N415:N416" si="381">"containing pictorially explicit nudity"</f>
        <v>containing pictorially explicit nudity</v>
      </c>
    </row>
    <row r="416" ht="14.25" customHeight="1">
      <c r="A416" s="1" t="str">
        <f>"Sekirei"</f>
        <v>Sekirei</v>
      </c>
      <c r="B416" s="1" t="str">
        <f>"4500"</f>
        <v>4500</v>
      </c>
      <c r="C416" s="1" t="str">
        <f>"Volume 1"</f>
        <v>Volume 1</v>
      </c>
      <c r="D416" s="1" t="str">
        <f>"Sakurako Gokurakun "</f>
        <v>Sakurako Gokurakun </v>
      </c>
      <c r="E416" s="1" t="str">
        <f t="shared" si="370"/>
        <v>31</v>
      </c>
      <c r="F416" s="1" t="str">
        <f t="shared" si="371"/>
        <v>Book</v>
      </c>
      <c r="G416" s="1" t="str">
        <f>"46443"</f>
        <v>46443</v>
      </c>
      <c r="H416" s="1" t="str">
        <f t="shared" si="379"/>
        <v>2022-08-02</v>
      </c>
      <c r="I416" s="1" t="str">
        <f t="shared" si="6"/>
        <v>2</v>
      </c>
      <c r="J416" s="1" t="str">
        <f t="shared" si="7"/>
        <v>Rejected All</v>
      </c>
      <c r="L416" s="1" t="str">
        <f>"46892"</f>
        <v>46892</v>
      </c>
      <c r="M416" s="1" t="str">
        <f t="shared" si="380"/>
        <v>42</v>
      </c>
      <c r="N416" s="1" t="str">
        <f t="shared" si="381"/>
        <v>containing pictorially explicit nudity</v>
      </c>
    </row>
    <row r="417" ht="14.25" customHeight="1">
      <c r="A417" s="1" t="str">
        <f>"The Doors of Perception "</f>
        <v>The Doors of Perception </v>
      </c>
      <c r="B417" s="1" t="str">
        <f>"10644"</f>
        <v>10644</v>
      </c>
      <c r="C417" s="1" t="str">
        <f>"Includes Heaven and Hell "</f>
        <v>Includes Heaven and Hell </v>
      </c>
      <c r="D417" s="1" t="str">
        <f>"Aldous Huxley "</f>
        <v>Aldous Huxley </v>
      </c>
      <c r="E417" s="1" t="str">
        <f t="shared" si="370"/>
        <v>31</v>
      </c>
      <c r="F417" s="1" t="str">
        <f t="shared" si="371"/>
        <v>Book</v>
      </c>
      <c r="G417" s="1" t="str">
        <f>"46439"</f>
        <v>46439</v>
      </c>
      <c r="H417" s="1" t="str">
        <f t="shared" ref="H417:H422" si="382">"2022-08-16"</f>
        <v>2022-08-16</v>
      </c>
      <c r="I417" s="1" t="str">
        <f t="shared" si="6"/>
        <v>2</v>
      </c>
      <c r="J417" s="1" t="str">
        <f t="shared" si="7"/>
        <v>Rejected All</v>
      </c>
      <c r="L417" s="1" t="str">
        <f>"46888"</f>
        <v>46888</v>
      </c>
      <c r="M417" s="1" t="str">
        <f>"10"</f>
        <v>10</v>
      </c>
      <c r="N417" s="1" t="str">
        <f>"encouraging or instructing on the commision of criminal activity"</f>
        <v>encouraging or instructing on the commision of criminal activity</v>
      </c>
    </row>
    <row r="418" ht="14.25" customHeight="1">
      <c r="A418" s="1" t="str">
        <f>"Best Sex Ever "</f>
        <v>Best Sex Ever </v>
      </c>
      <c r="B418" s="1" t="str">
        <f>"10674"</f>
        <v>10674</v>
      </c>
      <c r="C418" s="1" t="str">
        <f>"Jinny &amp;amp; Friendly Answers about getting it on "</f>
        <v>Jinny &amp;amp; Friendly Answers about getting it on </v>
      </c>
      <c r="D418" s="1" t="str">
        <f>"Mens Health "</f>
        <v>Mens Health </v>
      </c>
      <c r="E418" s="1" t="str">
        <f t="shared" si="370"/>
        <v>31</v>
      </c>
      <c r="F418" s="1" t="str">
        <f t="shared" si="371"/>
        <v>Book</v>
      </c>
      <c r="G418" s="1" t="str">
        <f>"46485"</f>
        <v>46485</v>
      </c>
      <c r="H418" s="1" t="str">
        <f t="shared" si="382"/>
        <v>2022-08-16</v>
      </c>
      <c r="I418" s="1" t="str">
        <f t="shared" si="6"/>
        <v>2</v>
      </c>
      <c r="J418" s="1" t="str">
        <f t="shared" si="7"/>
        <v>Rejected All</v>
      </c>
      <c r="L418" s="1" t="str">
        <f>"46933"</f>
        <v>46933</v>
      </c>
      <c r="M418" s="1" t="str">
        <f t="shared" ref="M418:M419" si="383">"41"</f>
        <v>41</v>
      </c>
      <c r="N418" s="1" t="str">
        <f t="shared" ref="N418:N419" si="384">"containing pictorially explicit sexual activity"</f>
        <v>containing pictorially explicit sexual activity</v>
      </c>
    </row>
    <row r="419" ht="14.25" customHeight="1">
      <c r="A419" s="1" t="str">
        <f>"She Comes First"</f>
        <v>She Comes First</v>
      </c>
      <c r="B419" s="1" t="str">
        <f>"0"</f>
        <v>0</v>
      </c>
      <c r="C419" s="1" t="str">
        <f>"n/a"</f>
        <v>n/a</v>
      </c>
      <c r="D419" s="1" t="str">
        <f>"Ian Kerner"</f>
        <v>Ian Kerner</v>
      </c>
      <c r="E419" s="1" t="str">
        <f t="shared" si="370"/>
        <v>31</v>
      </c>
      <c r="F419" s="1" t="str">
        <f t="shared" si="371"/>
        <v>Book</v>
      </c>
      <c r="G419" s="1" t="str">
        <f>"33764"</f>
        <v>33764</v>
      </c>
      <c r="H419" s="1" t="str">
        <f t="shared" si="382"/>
        <v>2022-08-16</v>
      </c>
      <c r="I419" s="1" t="str">
        <f t="shared" si="6"/>
        <v>2</v>
      </c>
      <c r="J419" s="1" t="str">
        <f t="shared" si="7"/>
        <v>Rejected All</v>
      </c>
      <c r="L419" s="1" t="str">
        <f>"46893"</f>
        <v>46893</v>
      </c>
      <c r="M419" s="1" t="str">
        <f t="shared" si="383"/>
        <v>41</v>
      </c>
      <c r="N419" s="1" t="str">
        <f t="shared" si="384"/>
        <v>containing pictorially explicit sexual activity</v>
      </c>
    </row>
    <row r="420" ht="14.25" customHeight="1">
      <c r="A420" s="1" t="str">
        <f>"Yakub"</f>
        <v>Yakub</v>
      </c>
      <c r="B420" s="1" t="str">
        <f>"10673"</f>
        <v>10673</v>
      </c>
      <c r="C420" s="1" t="str">
        <f>"The Father of Mankind "</f>
        <v>The Father of Mankind </v>
      </c>
      <c r="D420" s="1" t="str">
        <f>"Elijah Muhammad "</f>
        <v>Elijah Muhammad </v>
      </c>
      <c r="E420" s="1" t="str">
        <f t="shared" si="370"/>
        <v>31</v>
      </c>
      <c r="F420" s="1" t="str">
        <f t="shared" si="371"/>
        <v>Book</v>
      </c>
      <c r="G420" s="1" t="str">
        <f>"46484"</f>
        <v>46484</v>
      </c>
      <c r="H420" s="1" t="str">
        <f t="shared" si="382"/>
        <v>2022-08-16</v>
      </c>
      <c r="I420" s="1" t="str">
        <f t="shared" si="6"/>
        <v>2</v>
      </c>
      <c r="J420" s="1" t="str">
        <f t="shared" si="7"/>
        <v>Rejected All</v>
      </c>
      <c r="L420" s="1" t="str">
        <f>"46932"</f>
        <v>46932</v>
      </c>
      <c r="M420" s="1" t="str">
        <f>"49"</f>
        <v>49</v>
      </c>
      <c r="N420" s="1" t="s">
        <v>0</v>
      </c>
    </row>
    <row r="421" ht="14.25" customHeight="1">
      <c r="A421" s="1" t="str">
        <f>"Rent A Girlfirend "</f>
        <v>Rent A Girlfirend </v>
      </c>
      <c r="B421" s="1" t="str">
        <f>"4511"</f>
        <v>4511</v>
      </c>
      <c r="C421" s="1" t="str">
        <f>"Volume 3"</f>
        <v>Volume 3</v>
      </c>
      <c r="D421" s="1" t="str">
        <f>"Reiji Miyajima "</f>
        <v>Reiji Miyajima </v>
      </c>
      <c r="E421" s="1" t="str">
        <f t="shared" si="370"/>
        <v>31</v>
      </c>
      <c r="F421" s="1" t="str">
        <f t="shared" si="371"/>
        <v>Book</v>
      </c>
      <c r="G421" s="1" t="str">
        <f>"46442"</f>
        <v>46442</v>
      </c>
      <c r="H421" s="1" t="str">
        <f t="shared" si="382"/>
        <v>2022-08-16</v>
      </c>
      <c r="I421" s="1" t="str">
        <f t="shared" si="6"/>
        <v>2</v>
      </c>
      <c r="J421" s="1" t="str">
        <f t="shared" si="7"/>
        <v>Rejected All</v>
      </c>
      <c r="L421" s="1" t="str">
        <f>"46891"</f>
        <v>46891</v>
      </c>
      <c r="M421" s="1" t="str">
        <f>"41"</f>
        <v>41</v>
      </c>
      <c r="N421" s="1" t="str">
        <f>"containing pictorially explicit sexual activity"</f>
        <v>containing pictorially explicit sexual activity</v>
      </c>
    </row>
    <row r="422" ht="14.25" customHeight="1">
      <c r="A422" s="1" t="str">
        <f>"Rent A Girlfriend "</f>
        <v>Rent A Girlfriend </v>
      </c>
      <c r="B422" s="1" t="str">
        <f>"10645"</f>
        <v>10645</v>
      </c>
      <c r="C422" s="1" t="str">
        <f>"Volume 6"</f>
        <v>Volume 6</v>
      </c>
      <c r="D422" s="1" t="str">
        <f>"Reija Miyajima"</f>
        <v>Reija Miyajima</v>
      </c>
      <c r="E422" s="1" t="str">
        <f t="shared" si="370"/>
        <v>31</v>
      </c>
      <c r="F422" s="1" t="str">
        <f t="shared" si="371"/>
        <v>Book</v>
      </c>
      <c r="G422" s="1" t="str">
        <f>"46441"</f>
        <v>46441</v>
      </c>
      <c r="H422" s="1" t="str">
        <f t="shared" si="382"/>
        <v>2022-08-16</v>
      </c>
      <c r="I422" s="1" t="str">
        <f t="shared" si="6"/>
        <v>2</v>
      </c>
      <c r="J422" s="1" t="str">
        <f t="shared" si="7"/>
        <v>Rejected All</v>
      </c>
      <c r="L422" s="1" t="str">
        <f>"46890"</f>
        <v>46890</v>
      </c>
      <c r="M422" s="1" t="str">
        <f t="shared" ref="M422:M423" si="385">"42"</f>
        <v>42</v>
      </c>
      <c r="N422" s="1" t="str">
        <f t="shared" ref="N422:N423" si="386">"containing pictorially explicit nudity"</f>
        <v>containing pictorially explicit nudity</v>
      </c>
    </row>
    <row r="423" ht="14.25" customHeight="1">
      <c r="A423" s="1" t="str">
        <f>"Death Scenes "</f>
        <v>Death Scenes </v>
      </c>
      <c r="B423" s="1" t="str">
        <f>"10678"</f>
        <v>10678</v>
      </c>
      <c r="C423" s="1" t="str">
        <f>"Publcation "</f>
        <v>Publcation </v>
      </c>
      <c r="D423" s="1" t="str">
        <f>"Katherine Dunn "</f>
        <v>Katherine Dunn </v>
      </c>
      <c r="E423" s="1" t="str">
        <f t="shared" si="370"/>
        <v>31</v>
      </c>
      <c r="F423" s="1" t="str">
        <f t="shared" si="371"/>
        <v>Book</v>
      </c>
      <c r="G423" s="1" t="str">
        <f>"46498"</f>
        <v>46498</v>
      </c>
      <c r="H423" s="1" t="str">
        <f t="shared" ref="H423:H435" si="387">"2022-09-06"</f>
        <v>2022-09-06</v>
      </c>
      <c r="I423" s="1" t="str">
        <f t="shared" si="6"/>
        <v>2</v>
      </c>
      <c r="J423" s="1" t="str">
        <f t="shared" si="7"/>
        <v>Rejected All</v>
      </c>
      <c r="L423" s="1" t="str">
        <f>"46946"</f>
        <v>46946</v>
      </c>
      <c r="M423" s="1" t="str">
        <f t="shared" si="385"/>
        <v>42</v>
      </c>
      <c r="N423" s="1" t="str">
        <f t="shared" si="386"/>
        <v>containing pictorially explicit nudity</v>
      </c>
    </row>
    <row r="424" ht="14.25" customHeight="1">
      <c r="A424" s="1" t="str">
        <f>"The Nowhere Man"</f>
        <v>The Nowhere Man</v>
      </c>
      <c r="B424" s="1" t="str">
        <f t="shared" ref="B424:B430" si="388">"10642"</f>
        <v>10642</v>
      </c>
      <c r="C424" s="1" t="str">
        <f t="shared" ref="C424:C430" si="389">"Publication "</f>
        <v>Publication </v>
      </c>
      <c r="D424" s="1" t="str">
        <f>"Gregg Horwitz"</f>
        <v>Gregg Horwitz</v>
      </c>
      <c r="E424" s="1" t="str">
        <f t="shared" si="370"/>
        <v>31</v>
      </c>
      <c r="F424" s="1" t="str">
        <f t="shared" si="371"/>
        <v>Book</v>
      </c>
      <c r="G424" s="1" t="str">
        <f>"46489"</f>
        <v>46489</v>
      </c>
      <c r="H424" s="1" t="str">
        <f t="shared" si="387"/>
        <v>2022-09-06</v>
      </c>
      <c r="I424" s="1" t="str">
        <f t="shared" si="6"/>
        <v>2</v>
      </c>
      <c r="J424" s="1" t="str">
        <f t="shared" si="7"/>
        <v>Rejected All</v>
      </c>
      <c r="L424" s="1" t="str">
        <f>"46937"</f>
        <v>46937</v>
      </c>
      <c r="M424" s="1" t="str">
        <f>"37"</f>
        <v>37</v>
      </c>
      <c r="N424" s="1" t="str">
        <f>"not being included in the original store packaging"</f>
        <v>not being included in the original store packaging</v>
      </c>
    </row>
    <row r="425" ht="14.25" customHeight="1">
      <c r="A425" s="1" t="str">
        <f>"Prison Ramen"</f>
        <v>Prison Ramen</v>
      </c>
      <c r="B425" s="1" t="str">
        <f t="shared" si="388"/>
        <v>10642</v>
      </c>
      <c r="C425" s="1" t="str">
        <f t="shared" si="389"/>
        <v>Publication </v>
      </c>
      <c r="D425" s="1" t="str">
        <f>"Clifton Collins "</f>
        <v>Clifton Collins </v>
      </c>
      <c r="E425" s="1" t="str">
        <f t="shared" si="370"/>
        <v>31</v>
      </c>
      <c r="F425" s="1" t="str">
        <f t="shared" si="371"/>
        <v>Book</v>
      </c>
      <c r="G425" s="1" t="str">
        <f>"46490"</f>
        <v>46490</v>
      </c>
      <c r="H425" s="1" t="str">
        <f t="shared" si="387"/>
        <v>2022-09-06</v>
      </c>
      <c r="I425" s="1" t="str">
        <f t="shared" si="6"/>
        <v>2</v>
      </c>
      <c r="J425" s="1" t="str">
        <f t="shared" si="7"/>
        <v>Rejected All</v>
      </c>
      <c r="L425" s="1" t="str">
        <f>"46938"</f>
        <v>46938</v>
      </c>
      <c r="M425" s="1" t="str">
        <f>"9"</f>
        <v>9</v>
      </c>
      <c r="N425" s="1" t="str">
        <f>"describing or encouraging physical violence or group disruption"</f>
        <v>describing or encouraging physical violence or group disruption</v>
      </c>
    </row>
    <row r="426" ht="14.25" customHeight="1">
      <c r="A426" s="1" t="str">
        <f>"Drawing Book "</f>
        <v>Drawing Book </v>
      </c>
      <c r="B426" s="1" t="str">
        <f t="shared" si="388"/>
        <v>10642</v>
      </c>
      <c r="C426" s="1" t="str">
        <f t="shared" si="389"/>
        <v>Publication </v>
      </c>
      <c r="D426" s="1" t="str">
        <f>"N/A"</f>
        <v>N/A</v>
      </c>
      <c r="E426" s="1" t="str">
        <f t="shared" si="370"/>
        <v>31</v>
      </c>
      <c r="F426" s="1" t="str">
        <f t="shared" si="371"/>
        <v>Book</v>
      </c>
      <c r="G426" s="1" t="str">
        <f>"46491"</f>
        <v>46491</v>
      </c>
      <c r="H426" s="1" t="str">
        <f t="shared" si="387"/>
        <v>2022-09-06</v>
      </c>
      <c r="I426" s="1" t="str">
        <f t="shared" si="6"/>
        <v>2</v>
      </c>
      <c r="J426" s="1" t="str">
        <f t="shared" si="7"/>
        <v>Rejected All</v>
      </c>
      <c r="L426" s="1" t="str">
        <f>"46939"</f>
        <v>46939</v>
      </c>
      <c r="M426" s="1" t="str">
        <f>"48"</f>
        <v>48</v>
      </c>
      <c r="N426" s="1" t="str">
        <f>"containing physical properties which can be manipulated as a security concern"</f>
        <v>containing physical properties which can be manipulated as a security concern</v>
      </c>
    </row>
    <row r="427" ht="14.25" customHeight="1">
      <c r="A427" s="1" t="str">
        <f>"Linux Basixs For Hackers "</f>
        <v>Linux Basixs For Hackers </v>
      </c>
      <c r="B427" s="1" t="str">
        <f t="shared" si="388"/>
        <v>10642</v>
      </c>
      <c r="C427" s="1" t="str">
        <f t="shared" si="389"/>
        <v>Publication </v>
      </c>
      <c r="D427" s="1" t="str">
        <f>"Occupy/theWeb"</f>
        <v>Occupy/theWeb</v>
      </c>
      <c r="E427" s="1" t="str">
        <f t="shared" si="370"/>
        <v>31</v>
      </c>
      <c r="F427" s="1" t="str">
        <f t="shared" si="371"/>
        <v>Book</v>
      </c>
      <c r="G427" s="1" t="str">
        <f>"46492"</f>
        <v>46492</v>
      </c>
      <c r="H427" s="1" t="str">
        <f t="shared" si="387"/>
        <v>2022-09-06</v>
      </c>
      <c r="I427" s="1" t="str">
        <f t="shared" si="6"/>
        <v>2</v>
      </c>
      <c r="J427" s="1" t="str">
        <f t="shared" si="7"/>
        <v>Rejected All</v>
      </c>
      <c r="L427" s="1" t="str">
        <f>"46940"</f>
        <v>46940</v>
      </c>
      <c r="M427" s="1" t="str">
        <f t="shared" ref="M427:M428" si="390">"10"</f>
        <v>10</v>
      </c>
      <c r="N427" s="1" t="str">
        <f t="shared" ref="N427:N428" si="391">"encouraging or instructing on the commision of criminal activity"</f>
        <v>encouraging or instructing on the commision of criminal activity</v>
      </c>
    </row>
    <row r="428" ht="14.25" customHeight="1">
      <c r="A428" s="1" t="str">
        <f>"The Art of Invisibility "</f>
        <v>The Art of Invisibility </v>
      </c>
      <c r="B428" s="1" t="str">
        <f t="shared" si="388"/>
        <v>10642</v>
      </c>
      <c r="C428" s="1" t="str">
        <f t="shared" si="389"/>
        <v>Publication </v>
      </c>
      <c r="D428" s="1" t="str">
        <f>"Kevin Mitnick "</f>
        <v>Kevin Mitnick </v>
      </c>
      <c r="E428" s="1" t="str">
        <f t="shared" si="370"/>
        <v>31</v>
      </c>
      <c r="F428" s="1" t="str">
        <f t="shared" si="371"/>
        <v>Book</v>
      </c>
      <c r="G428" s="1" t="str">
        <f>"46493"</f>
        <v>46493</v>
      </c>
      <c r="H428" s="1" t="str">
        <f t="shared" si="387"/>
        <v>2022-09-06</v>
      </c>
      <c r="I428" s="1" t="str">
        <f t="shared" si="6"/>
        <v>2</v>
      </c>
      <c r="J428" s="1" t="str">
        <f t="shared" si="7"/>
        <v>Rejected All</v>
      </c>
      <c r="L428" s="1" t="str">
        <f>"46941"</f>
        <v>46941</v>
      </c>
      <c r="M428" s="1" t="str">
        <f t="shared" si="390"/>
        <v>10</v>
      </c>
      <c r="N428" s="1" t="str">
        <f t="shared" si="391"/>
        <v>encouraging or instructing on the commision of criminal activity</v>
      </c>
    </row>
    <row r="429" ht="14.25" customHeight="1">
      <c r="A429" s="1" t="str">
        <f>"Kama-Sutra "</f>
        <v>Kama-Sutra </v>
      </c>
      <c r="B429" s="1" t="str">
        <f t="shared" si="388"/>
        <v>10642</v>
      </c>
      <c r="C429" s="1" t="str">
        <f t="shared" si="389"/>
        <v>Publication </v>
      </c>
      <c r="D429" s="1" t="str">
        <f>"Alicia Gallotti "</f>
        <v>Alicia Gallotti </v>
      </c>
      <c r="E429" s="1" t="str">
        <f t="shared" si="370"/>
        <v>31</v>
      </c>
      <c r="F429" s="1" t="str">
        <f t="shared" si="371"/>
        <v>Book</v>
      </c>
      <c r="G429" s="1" t="str">
        <f>"46496"</f>
        <v>46496</v>
      </c>
      <c r="H429" s="1" t="str">
        <f t="shared" si="387"/>
        <v>2022-09-06</v>
      </c>
      <c r="I429" s="1" t="str">
        <f t="shared" si="6"/>
        <v>2</v>
      </c>
      <c r="J429" s="1" t="str">
        <f t="shared" si="7"/>
        <v>Rejected All</v>
      </c>
      <c r="L429" s="1" t="str">
        <f>"46944"</f>
        <v>46944</v>
      </c>
      <c r="M429" s="1" t="str">
        <f t="shared" ref="M429:M430" si="392">"41"</f>
        <v>41</v>
      </c>
      <c r="N429" s="1" t="str">
        <f t="shared" ref="N429:N430" si="393">"containing pictorially explicit sexual activity"</f>
        <v>containing pictorially explicit sexual activity</v>
      </c>
    </row>
    <row r="430" ht="14.25" customHeight="1">
      <c r="A430" s="1" t="str">
        <f>"Hex Wives "</f>
        <v>Hex Wives </v>
      </c>
      <c r="B430" s="1" t="str">
        <f t="shared" si="388"/>
        <v>10642</v>
      </c>
      <c r="C430" s="1" t="str">
        <f t="shared" si="389"/>
        <v>Publication </v>
      </c>
      <c r="D430" s="1" t="str">
        <f>"Ben Blacker Mirka"</f>
        <v>Ben Blacker Mirka</v>
      </c>
      <c r="E430" s="1" t="str">
        <f t="shared" si="370"/>
        <v>31</v>
      </c>
      <c r="F430" s="1" t="str">
        <f t="shared" si="371"/>
        <v>Book</v>
      </c>
      <c r="G430" s="1" t="str">
        <f>"46497"</f>
        <v>46497</v>
      </c>
      <c r="H430" s="1" t="str">
        <f t="shared" si="387"/>
        <v>2022-09-06</v>
      </c>
      <c r="I430" s="1" t="str">
        <f t="shared" si="6"/>
        <v>2</v>
      </c>
      <c r="J430" s="1" t="str">
        <f t="shared" si="7"/>
        <v>Rejected All</v>
      </c>
      <c r="L430" s="1" t="str">
        <f>"46945"</f>
        <v>46945</v>
      </c>
      <c r="M430" s="1" t="str">
        <f t="shared" si="392"/>
        <v>41</v>
      </c>
      <c r="N430" s="1" t="str">
        <f t="shared" si="393"/>
        <v>containing pictorially explicit sexual activity</v>
      </c>
    </row>
    <row r="431" ht="14.25" customHeight="1">
      <c r="A431" s="1" t="str">
        <f>"God Forgives "</f>
        <v>God Forgives </v>
      </c>
      <c r="B431" s="1" t="str">
        <f>"3732"</f>
        <v>3732</v>
      </c>
      <c r="C431" s="1" t="str">
        <f>"Vol 1"</f>
        <v>Vol 1</v>
      </c>
      <c r="D431" s="1" t="str">
        <f t="shared" ref="D431:D433" si="394">"Blake Karrington "</f>
        <v>Blake Karrington </v>
      </c>
      <c r="E431" s="1" t="str">
        <f t="shared" si="370"/>
        <v>31</v>
      </c>
      <c r="F431" s="1" t="str">
        <f t="shared" si="371"/>
        <v>Book</v>
      </c>
      <c r="G431" s="1" t="str">
        <f>"46506"</f>
        <v>46506</v>
      </c>
      <c r="H431" s="1" t="str">
        <f t="shared" si="387"/>
        <v>2022-09-06</v>
      </c>
      <c r="I431" s="1" t="str">
        <f t="shared" si="6"/>
        <v>2</v>
      </c>
      <c r="J431" s="1" t="str">
        <f t="shared" si="7"/>
        <v>Rejected All</v>
      </c>
      <c r="L431" s="1" t="str">
        <f>"46955"</f>
        <v>46955</v>
      </c>
      <c r="M431" s="1" t="str">
        <f t="shared" ref="M431:M433" si="395">"49"</f>
        <v>49</v>
      </c>
      <c r="N431" s="1" t="s">
        <v>0</v>
      </c>
    </row>
    <row r="432" ht="14.25" customHeight="1">
      <c r="A432" s="1" t="str">
        <f t="shared" ref="A432:A433" si="396">"Go d Forgives "</f>
        <v>Go d Forgives </v>
      </c>
      <c r="B432" s="1" t="str">
        <f t="shared" ref="B432:B433" si="397">"3867"</f>
        <v>3867</v>
      </c>
      <c r="C432" s="1" t="str">
        <f t="shared" ref="C432:C433" si="398">"Vol 2"</f>
        <v>Vol 2</v>
      </c>
      <c r="D432" s="1" t="str">
        <f t="shared" si="394"/>
        <v>Blake Karrington </v>
      </c>
      <c r="E432" s="1" t="str">
        <f t="shared" si="370"/>
        <v>31</v>
      </c>
      <c r="F432" s="1" t="str">
        <f t="shared" si="371"/>
        <v>Book</v>
      </c>
      <c r="G432" s="1" t="str">
        <f t="shared" ref="G432:G433" si="399">"46505"</f>
        <v>46505</v>
      </c>
      <c r="H432" s="1" t="str">
        <f t="shared" si="387"/>
        <v>2022-09-06</v>
      </c>
      <c r="I432" s="1" t="str">
        <f t="shared" si="6"/>
        <v>2</v>
      </c>
      <c r="J432" s="1" t="str">
        <f t="shared" si="7"/>
        <v>Rejected All</v>
      </c>
      <c r="L432" s="1" t="str">
        <f>"46954"</f>
        <v>46954</v>
      </c>
      <c r="M432" s="1" t="str">
        <f t="shared" si="395"/>
        <v>49</v>
      </c>
      <c r="N432" s="1" t="s">
        <v>0</v>
      </c>
    </row>
    <row r="433" ht="14.25" customHeight="1">
      <c r="A433" s="1" t="str">
        <f t="shared" si="396"/>
        <v>Go d Forgives </v>
      </c>
      <c r="B433" s="1" t="str">
        <f t="shared" si="397"/>
        <v>3867</v>
      </c>
      <c r="C433" s="1" t="str">
        <f t="shared" si="398"/>
        <v>Vol 2</v>
      </c>
      <c r="D433" s="1" t="str">
        <f t="shared" si="394"/>
        <v>Blake Karrington </v>
      </c>
      <c r="E433" s="1" t="str">
        <f t="shared" si="370"/>
        <v>31</v>
      </c>
      <c r="F433" s="1" t="str">
        <f t="shared" si="371"/>
        <v>Book</v>
      </c>
      <c r="G433" s="1" t="str">
        <f t="shared" si="399"/>
        <v>46505</v>
      </c>
      <c r="H433" s="1" t="str">
        <f t="shared" si="387"/>
        <v>2022-09-06</v>
      </c>
      <c r="I433" s="1" t="str">
        <f t="shared" si="6"/>
        <v>2</v>
      </c>
      <c r="J433" s="1" t="str">
        <f t="shared" si="7"/>
        <v>Rejected All</v>
      </c>
      <c r="L433" s="1" t="str">
        <f>"47033"</f>
        <v>47033</v>
      </c>
      <c r="M433" s="1" t="str">
        <f t="shared" si="395"/>
        <v>49</v>
      </c>
      <c r="N433" s="1" t="s">
        <v>0</v>
      </c>
    </row>
    <row r="434" ht="14.25" customHeight="1">
      <c r="A434" s="1" t="str">
        <f>"Tabu "</f>
        <v>Tabu </v>
      </c>
      <c r="B434" s="1" t="str">
        <f t="shared" ref="B434:B435" si="400">"10633"</f>
        <v>10633</v>
      </c>
      <c r="C434" s="1" t="str">
        <f t="shared" ref="C434:C435" si="401">"Magazine "</f>
        <v>Magazine </v>
      </c>
      <c r="D434" s="1" t="str">
        <f t="shared" ref="D434:D435" si="402">"Tabu Tattoo "</f>
        <v>Tabu Tattoo </v>
      </c>
      <c r="E434" s="1" t="str">
        <f t="shared" ref="E434:E435" si="403">"32"</f>
        <v>32</v>
      </c>
      <c r="F434" s="1" t="str">
        <f t="shared" ref="F434:F435" si="404">"Magazine/Newspaper"</f>
        <v>Magazine/Newspaper</v>
      </c>
      <c r="G434" s="1" t="str">
        <f>"46494"</f>
        <v>46494</v>
      </c>
      <c r="H434" s="1" t="str">
        <f t="shared" si="387"/>
        <v>2022-09-06</v>
      </c>
      <c r="I434" s="1" t="str">
        <f t="shared" si="6"/>
        <v>2</v>
      </c>
      <c r="J434" s="1" t="str">
        <f t="shared" si="7"/>
        <v>Rejected All</v>
      </c>
      <c r="L434" s="1" t="str">
        <f>"46942"</f>
        <v>46942</v>
      </c>
      <c r="M434" s="1" t="str">
        <f t="shared" ref="M434:M435" si="405">"42"</f>
        <v>42</v>
      </c>
      <c r="N434" s="1" t="str">
        <f t="shared" ref="N434:N435" si="406">"containing pictorially explicit nudity"</f>
        <v>containing pictorially explicit nudity</v>
      </c>
    </row>
    <row r="435" ht="14.25" customHeight="1">
      <c r="A435" s="1" t="str">
        <f>"Tabu #69"</f>
        <v>Tabu #69</v>
      </c>
      <c r="B435" s="1" t="str">
        <f t="shared" si="400"/>
        <v>10633</v>
      </c>
      <c r="C435" s="1" t="str">
        <f t="shared" si="401"/>
        <v>Magazine </v>
      </c>
      <c r="D435" s="1" t="str">
        <f t="shared" si="402"/>
        <v>Tabu Tattoo </v>
      </c>
      <c r="E435" s="1" t="str">
        <f t="shared" si="403"/>
        <v>32</v>
      </c>
      <c r="F435" s="1" t="str">
        <f t="shared" si="404"/>
        <v>Magazine/Newspaper</v>
      </c>
      <c r="G435" s="1" t="str">
        <f>"46495"</f>
        <v>46495</v>
      </c>
      <c r="H435" s="1" t="str">
        <f t="shared" si="387"/>
        <v>2022-09-06</v>
      </c>
      <c r="I435" s="1" t="str">
        <f t="shared" si="6"/>
        <v>2</v>
      </c>
      <c r="J435" s="1" t="str">
        <f t="shared" si="7"/>
        <v>Rejected All</v>
      </c>
      <c r="L435" s="1" t="str">
        <f>"46943"</f>
        <v>46943</v>
      </c>
      <c r="M435" s="1" t="str">
        <f t="shared" si="405"/>
        <v>42</v>
      </c>
      <c r="N435" s="1" t="str">
        <f t="shared" si="406"/>
        <v>containing pictorially explicit nudity</v>
      </c>
    </row>
    <row r="436" ht="14.25" customHeight="1">
      <c r="A436" s="1" t="str">
        <f>"The True Crimes File"</f>
        <v>The True Crimes File</v>
      </c>
      <c r="B436" s="1" t="str">
        <f>"10642"</f>
        <v>10642</v>
      </c>
      <c r="C436" s="1" t="str">
        <f>"Publication "</f>
        <v>Publication </v>
      </c>
      <c r="D436" s="1" t="str">
        <f>"Kim Daly "</f>
        <v>Kim Daly </v>
      </c>
      <c r="E436" s="1" t="str">
        <f t="shared" ref="E436:E451" si="407">"31"</f>
        <v>31</v>
      </c>
      <c r="F436" s="1" t="str">
        <f t="shared" ref="F436:F451" si="408">"Book"</f>
        <v>Book</v>
      </c>
      <c r="G436" s="1" t="str">
        <f>"46560"</f>
        <v>46560</v>
      </c>
      <c r="H436" s="1" t="str">
        <f>"2022-09-20"</f>
        <v>2022-09-20</v>
      </c>
      <c r="I436" s="1" t="str">
        <f t="shared" si="6"/>
        <v>2</v>
      </c>
      <c r="J436" s="1" t="str">
        <f t="shared" si="7"/>
        <v>Rejected All</v>
      </c>
      <c r="L436" s="1" t="str">
        <f>"47010"</f>
        <v>47010</v>
      </c>
      <c r="M436" s="1" t="str">
        <f>"46"</f>
        <v>46</v>
      </c>
      <c r="N436" s="1" t="str">
        <f>"containing written sexually explicit material involving the use of force or non-consent"</f>
        <v>containing written sexually explicit material involving the use of force or non-consent</v>
      </c>
    </row>
    <row r="437" ht="14.25" customHeight="1">
      <c r="A437" s="1" t="str">
        <f>"The Ghost in The Shell "</f>
        <v>The Ghost in The Shell </v>
      </c>
      <c r="B437" s="1" t="str">
        <f>"10710"</f>
        <v>10710</v>
      </c>
      <c r="C437" s="1" t="str">
        <f>"Mature Content "</f>
        <v>Mature Content </v>
      </c>
      <c r="D437" s="1" t="str">
        <f>"Shirow Masamune"</f>
        <v>Shirow Masamune</v>
      </c>
      <c r="E437" s="1" t="str">
        <f t="shared" si="407"/>
        <v>31</v>
      </c>
      <c r="F437" s="1" t="str">
        <f t="shared" si="408"/>
        <v>Book</v>
      </c>
      <c r="G437" s="1" t="str">
        <f>"46585"</f>
        <v>46585</v>
      </c>
      <c r="H437" s="1" t="str">
        <f t="shared" ref="H437:H442" si="409">"2022-10-04"</f>
        <v>2022-10-04</v>
      </c>
      <c r="I437" s="1" t="str">
        <f t="shared" si="6"/>
        <v>2</v>
      </c>
      <c r="J437" s="1" t="str">
        <f t="shared" si="7"/>
        <v>Rejected All</v>
      </c>
      <c r="L437" s="1" t="str">
        <f>"47037"</f>
        <v>47037</v>
      </c>
      <c r="M437" s="1" t="str">
        <f t="shared" ref="M437:M438" si="410">"42"</f>
        <v>42</v>
      </c>
      <c r="N437" s="1" t="str">
        <f t="shared" ref="N437:N438" si="411">"containing pictorially explicit nudity"</f>
        <v>containing pictorially explicit nudity</v>
      </c>
    </row>
    <row r="438" ht="14.25" customHeight="1">
      <c r="A438" s="1" t="str">
        <f>"Moon Lake"</f>
        <v>Moon Lake</v>
      </c>
      <c r="B438" s="1" t="str">
        <f>"10709"</f>
        <v>10709</v>
      </c>
      <c r="C438" s="1" t="str">
        <f>"Midnight Munchies "</f>
        <v>Midnight Munchies </v>
      </c>
      <c r="D438" s="1" t="str">
        <f>"Dan Fogler "</f>
        <v>Dan Fogler </v>
      </c>
      <c r="E438" s="1" t="str">
        <f t="shared" si="407"/>
        <v>31</v>
      </c>
      <c r="F438" s="1" t="str">
        <f t="shared" si="408"/>
        <v>Book</v>
      </c>
      <c r="G438" s="1" t="str">
        <f>"46584"</f>
        <v>46584</v>
      </c>
      <c r="H438" s="1" t="str">
        <f t="shared" si="409"/>
        <v>2022-10-04</v>
      </c>
      <c r="I438" s="1" t="str">
        <f t="shared" si="6"/>
        <v>2</v>
      </c>
      <c r="J438" s="1" t="str">
        <f t="shared" si="7"/>
        <v>Rejected All</v>
      </c>
      <c r="L438" s="1" t="str">
        <f>"47036"</f>
        <v>47036</v>
      </c>
      <c r="M438" s="1" t="str">
        <f t="shared" si="410"/>
        <v>42</v>
      </c>
      <c r="N438" s="1" t="str">
        <f t="shared" si="411"/>
        <v>containing pictorially explicit nudity</v>
      </c>
    </row>
    <row r="439" ht="14.25" customHeight="1">
      <c r="A439" s="1" t="str">
        <f t="shared" ref="A439:A440" si="412">"Blood in my Eye"</f>
        <v>Blood in my Eye</v>
      </c>
      <c r="B439" s="1" t="str">
        <f t="shared" ref="B439:B440" si="413">"0"</f>
        <v>0</v>
      </c>
      <c r="C439" s="1" t="str">
        <f t="shared" ref="C439:C440" si="414">"n/a"</f>
        <v>n/a</v>
      </c>
      <c r="D439" s="1" t="str">
        <f t="shared" ref="D439:D440" si="415">"George L. Jackson"</f>
        <v>George L. Jackson</v>
      </c>
      <c r="E439" s="1" t="str">
        <f t="shared" si="407"/>
        <v>31</v>
      </c>
      <c r="F439" s="1" t="str">
        <f t="shared" si="408"/>
        <v>Book</v>
      </c>
      <c r="G439" s="1" t="str">
        <f t="shared" ref="G439:G440" si="416">"6872"</f>
        <v>6872</v>
      </c>
      <c r="H439" s="1" t="str">
        <f t="shared" si="409"/>
        <v>2022-10-04</v>
      </c>
      <c r="I439" s="1" t="str">
        <f t="shared" si="6"/>
        <v>2</v>
      </c>
      <c r="J439" s="1" t="str">
        <f t="shared" si="7"/>
        <v>Rejected All</v>
      </c>
      <c r="L439" s="1" t="str">
        <f t="shared" ref="L439:L440" si="417">"30201"</f>
        <v>30201</v>
      </c>
      <c r="M439" s="1" t="str">
        <f>"7"</f>
        <v>7</v>
      </c>
      <c r="N439" s="1" t="str">
        <f>"describing procedures to brew alcohol or manufacture drugs"</f>
        <v>describing procedures to brew alcohol or manufacture drugs</v>
      </c>
    </row>
    <row r="440" ht="14.25" customHeight="1">
      <c r="A440" s="1" t="str">
        <f t="shared" si="412"/>
        <v>Blood in my Eye</v>
      </c>
      <c r="B440" s="1" t="str">
        <f t="shared" si="413"/>
        <v>0</v>
      </c>
      <c r="C440" s="1" t="str">
        <f t="shared" si="414"/>
        <v>n/a</v>
      </c>
      <c r="D440" s="1" t="str">
        <f t="shared" si="415"/>
        <v>George L. Jackson</v>
      </c>
      <c r="E440" s="1" t="str">
        <f t="shared" si="407"/>
        <v>31</v>
      </c>
      <c r="F440" s="1" t="str">
        <f t="shared" si="408"/>
        <v>Book</v>
      </c>
      <c r="G440" s="1" t="str">
        <f t="shared" si="416"/>
        <v>6872</v>
      </c>
      <c r="H440" s="1" t="str">
        <f t="shared" si="409"/>
        <v>2022-10-04</v>
      </c>
      <c r="I440" s="1" t="str">
        <f t="shared" si="6"/>
        <v>2</v>
      </c>
      <c r="J440" s="1" t="str">
        <f t="shared" si="7"/>
        <v>Rejected All</v>
      </c>
      <c r="L440" s="1" t="str">
        <f t="shared" si="417"/>
        <v>30201</v>
      </c>
      <c r="M440" s="1" t="str">
        <f>"12"</f>
        <v>12</v>
      </c>
      <c r="N440" s="1" t="str">
        <f>"safety and security reasons"</f>
        <v>safety and security reasons</v>
      </c>
    </row>
    <row r="441" ht="14.25" customHeight="1">
      <c r="A441" s="1" t="str">
        <f>"The Lovely Bones"</f>
        <v>The Lovely Bones</v>
      </c>
      <c r="B441" s="1" t="str">
        <f t="shared" ref="B441:B442" si="418">"10642"</f>
        <v>10642</v>
      </c>
      <c r="C441" s="1" t="str">
        <f t="shared" ref="C441:C442" si="419">"Publication "</f>
        <v>Publication </v>
      </c>
      <c r="D441" s="1" t="str">
        <f>"Alice Sebold"</f>
        <v>Alice Sebold</v>
      </c>
      <c r="E441" s="1" t="str">
        <f t="shared" si="407"/>
        <v>31</v>
      </c>
      <c r="F441" s="1" t="str">
        <f t="shared" si="408"/>
        <v>Book</v>
      </c>
      <c r="G441" s="1" t="str">
        <f>"46583"</f>
        <v>46583</v>
      </c>
      <c r="H441" s="1" t="str">
        <f t="shared" si="409"/>
        <v>2022-10-04</v>
      </c>
      <c r="I441" s="1" t="str">
        <f t="shared" si="6"/>
        <v>2</v>
      </c>
      <c r="J441" s="1" t="str">
        <f t="shared" si="7"/>
        <v>Rejected All</v>
      </c>
      <c r="L441" s="1" t="str">
        <f>"47035"</f>
        <v>47035</v>
      </c>
      <c r="M441" s="1" t="str">
        <f>"46"</f>
        <v>46</v>
      </c>
      <c r="N441" s="1" t="str">
        <f>"containing written sexually explicit material involving the use of force or non-consent"</f>
        <v>containing written sexually explicit material involving the use of force or non-consent</v>
      </c>
    </row>
    <row r="442" ht="14.25" customHeight="1">
      <c r="A442" s="1" t="str">
        <f>"You can do Anything "</f>
        <v>You can do Anything </v>
      </c>
      <c r="B442" s="1" t="str">
        <f t="shared" si="418"/>
        <v>10642</v>
      </c>
      <c r="C442" s="1" t="str">
        <f t="shared" si="419"/>
        <v>Publication </v>
      </c>
      <c r="D442" s="1" t="str">
        <f>"Mountain Arts"</f>
        <v>Mountain Arts</v>
      </c>
      <c r="E442" s="1" t="str">
        <f t="shared" si="407"/>
        <v>31</v>
      </c>
      <c r="F442" s="1" t="str">
        <f t="shared" si="408"/>
        <v>Book</v>
      </c>
      <c r="G442" s="1" t="str">
        <f>"46627"</f>
        <v>46627</v>
      </c>
      <c r="H442" s="1" t="str">
        <f t="shared" si="409"/>
        <v>2022-10-04</v>
      </c>
      <c r="I442" s="1" t="str">
        <f t="shared" si="6"/>
        <v>2</v>
      </c>
      <c r="J442" s="1" t="str">
        <f t="shared" si="7"/>
        <v>Rejected All</v>
      </c>
      <c r="L442" s="1" t="str">
        <f>"47078"</f>
        <v>47078</v>
      </c>
      <c r="M442" s="1" t="str">
        <f t="shared" ref="M442:M443" si="420">"37"</f>
        <v>37</v>
      </c>
      <c r="N442" s="1" t="str">
        <f t="shared" ref="N442:N443" si="421">"not being included in the original store packaging"</f>
        <v>not being included in the original store packaging</v>
      </c>
    </row>
    <row r="443" ht="14.25" customHeight="1">
      <c r="A443" s="1" t="str">
        <f>"A Gentleman in Moscow "</f>
        <v>A Gentleman in Moscow </v>
      </c>
      <c r="B443" s="1" t="str">
        <f>"10658"</f>
        <v>10658</v>
      </c>
      <c r="C443" s="1" t="str">
        <f>"Publiaction "</f>
        <v>Publiaction </v>
      </c>
      <c r="D443" s="1" t="str">
        <f>"Amor Towels "</f>
        <v>Amor Towels </v>
      </c>
      <c r="E443" s="1" t="str">
        <f t="shared" si="407"/>
        <v>31</v>
      </c>
      <c r="F443" s="1" t="str">
        <f t="shared" si="408"/>
        <v>Book</v>
      </c>
      <c r="G443" s="1" t="str">
        <f>"46629"</f>
        <v>46629</v>
      </c>
      <c r="H443" s="1" t="str">
        <f t="shared" ref="H443:H453" si="422">"2022-10-18"</f>
        <v>2022-10-18</v>
      </c>
      <c r="I443" s="1" t="str">
        <f t="shared" si="6"/>
        <v>2</v>
      </c>
      <c r="J443" s="1" t="str">
        <f t="shared" si="7"/>
        <v>Rejected All</v>
      </c>
      <c r="L443" s="1" t="str">
        <f>"47080"</f>
        <v>47080</v>
      </c>
      <c r="M443" s="1" t="str">
        <f t="shared" si="420"/>
        <v>37</v>
      </c>
      <c r="N443" s="1" t="str">
        <f t="shared" si="421"/>
        <v>not being included in the original store packaging</v>
      </c>
    </row>
    <row r="444" ht="14.25" customHeight="1">
      <c r="A444" s="1" t="str">
        <f>"The Girl Nextdoor "</f>
        <v>The Girl Nextdoor </v>
      </c>
      <c r="B444" s="1" t="str">
        <f>"10729"</f>
        <v>10729</v>
      </c>
      <c r="C444" s="1" t="str">
        <f>"Publicartion "</f>
        <v>Publicartion </v>
      </c>
      <c r="D444" s="1" t="str">
        <f>"Jack Ketchum "</f>
        <v>Jack Ketchum </v>
      </c>
      <c r="E444" s="1" t="str">
        <f t="shared" si="407"/>
        <v>31</v>
      </c>
      <c r="F444" s="1" t="str">
        <f t="shared" si="408"/>
        <v>Book</v>
      </c>
      <c r="G444" s="1" t="str">
        <f>"46640"</f>
        <v>46640</v>
      </c>
      <c r="H444" s="1" t="str">
        <f t="shared" si="422"/>
        <v>2022-10-18</v>
      </c>
      <c r="I444" s="1" t="str">
        <f t="shared" si="6"/>
        <v>2</v>
      </c>
      <c r="J444" s="1" t="str">
        <f t="shared" si="7"/>
        <v>Rejected All</v>
      </c>
      <c r="L444" s="1" t="str">
        <f>"47091"</f>
        <v>47091</v>
      </c>
      <c r="M444" s="1" t="str">
        <f>"45"</f>
        <v>45</v>
      </c>
      <c r="N444" s="1" t="str">
        <f>"containing written sexually explicit material involving minors"</f>
        <v>containing written sexually explicit material involving minors</v>
      </c>
    </row>
    <row r="445" ht="14.25" customHeight="1">
      <c r="A445" s="1" t="str">
        <f>"Soldier Boy"</f>
        <v>Soldier Boy</v>
      </c>
      <c r="B445" s="1" t="str">
        <f t="shared" ref="B445:B451" si="423">"10642"</f>
        <v>10642</v>
      </c>
      <c r="C445" s="1" t="str">
        <f t="shared" ref="C445:C451" si="424">"Publication "</f>
        <v>Publication </v>
      </c>
      <c r="D445" s="1" t="str">
        <f>"Keely Hutton "</f>
        <v>Keely Hutton </v>
      </c>
      <c r="E445" s="1" t="str">
        <f t="shared" si="407"/>
        <v>31</v>
      </c>
      <c r="F445" s="1" t="str">
        <f t="shared" si="408"/>
        <v>Book</v>
      </c>
      <c r="G445" s="1" t="str">
        <f>"46621"</f>
        <v>46621</v>
      </c>
      <c r="H445" s="1" t="str">
        <f t="shared" si="422"/>
        <v>2022-10-18</v>
      </c>
      <c r="I445" s="1" t="str">
        <f t="shared" si="6"/>
        <v>2</v>
      </c>
      <c r="J445" s="1" t="str">
        <f t="shared" si="7"/>
        <v>Rejected All</v>
      </c>
      <c r="L445" s="1" t="str">
        <f>"47072"</f>
        <v>47072</v>
      </c>
      <c r="M445" s="1" t="str">
        <f t="shared" ref="M445:M450" si="425">"37"</f>
        <v>37</v>
      </c>
      <c r="N445" s="1" t="str">
        <f t="shared" ref="N445:N450" si="426">"not being included in the original store packaging"</f>
        <v>not being included in the original store packaging</v>
      </c>
    </row>
    <row r="446" ht="14.25" customHeight="1">
      <c r="A446" s="1" t="str">
        <f>"Crossword"</f>
        <v>Crossword</v>
      </c>
      <c r="B446" s="1" t="str">
        <f t="shared" si="423"/>
        <v>10642</v>
      </c>
      <c r="C446" s="1" t="str">
        <f t="shared" si="424"/>
        <v>Publication </v>
      </c>
      <c r="D446" s="1" t="str">
        <f>"Papp"</f>
        <v>Papp</v>
      </c>
      <c r="E446" s="1" t="str">
        <f t="shared" si="407"/>
        <v>31</v>
      </c>
      <c r="F446" s="1" t="str">
        <f t="shared" si="408"/>
        <v>Book</v>
      </c>
      <c r="G446" s="1" t="str">
        <f>"46622"</f>
        <v>46622</v>
      </c>
      <c r="H446" s="1" t="str">
        <f t="shared" si="422"/>
        <v>2022-10-18</v>
      </c>
      <c r="I446" s="1" t="str">
        <f t="shared" si="6"/>
        <v>2</v>
      </c>
      <c r="J446" s="1" t="str">
        <f t="shared" si="7"/>
        <v>Rejected All</v>
      </c>
      <c r="L446" s="1" t="str">
        <f>"47073"</f>
        <v>47073</v>
      </c>
      <c r="M446" s="1" t="str">
        <f t="shared" si="425"/>
        <v>37</v>
      </c>
      <c r="N446" s="1" t="str">
        <f t="shared" si="426"/>
        <v>not being included in the original store packaging</v>
      </c>
    </row>
    <row r="447" ht="14.25" customHeight="1">
      <c r="A447" s="1" t="str">
        <f>"The Great Survival "</f>
        <v>The Great Survival </v>
      </c>
      <c r="B447" s="1" t="str">
        <f t="shared" si="423"/>
        <v>10642</v>
      </c>
      <c r="C447" s="1" t="str">
        <f t="shared" si="424"/>
        <v>Publication </v>
      </c>
      <c r="D447" s="1" t="str">
        <f>"Cara Tabachnick"</f>
        <v>Cara Tabachnick</v>
      </c>
      <c r="E447" s="1" t="str">
        <f t="shared" si="407"/>
        <v>31</v>
      </c>
      <c r="F447" s="1" t="str">
        <f t="shared" si="408"/>
        <v>Book</v>
      </c>
      <c r="G447" s="1" t="str">
        <f>"46623"</f>
        <v>46623</v>
      </c>
      <c r="H447" s="1" t="str">
        <f t="shared" si="422"/>
        <v>2022-10-18</v>
      </c>
      <c r="I447" s="1" t="str">
        <f t="shared" si="6"/>
        <v>2</v>
      </c>
      <c r="J447" s="1" t="str">
        <f t="shared" si="7"/>
        <v>Rejected All</v>
      </c>
      <c r="L447" s="1" t="str">
        <f>"47074"</f>
        <v>47074</v>
      </c>
      <c r="M447" s="1" t="str">
        <f t="shared" si="425"/>
        <v>37</v>
      </c>
      <c r="N447" s="1" t="str">
        <f t="shared" si="426"/>
        <v>not being included in the original store packaging</v>
      </c>
    </row>
    <row r="448" ht="14.25" customHeight="1">
      <c r="A448" s="1" t="str">
        <f>"Being Peace "</f>
        <v>Being Peace </v>
      </c>
      <c r="B448" s="1" t="str">
        <f t="shared" si="423"/>
        <v>10642</v>
      </c>
      <c r="C448" s="1" t="str">
        <f t="shared" si="424"/>
        <v>Publication </v>
      </c>
      <c r="D448" s="1" t="str">
        <f>"Thich Nhat Hanh"</f>
        <v>Thich Nhat Hanh</v>
      </c>
      <c r="E448" s="1" t="str">
        <f t="shared" si="407"/>
        <v>31</v>
      </c>
      <c r="F448" s="1" t="str">
        <f t="shared" si="408"/>
        <v>Book</v>
      </c>
      <c r="G448" s="1" t="str">
        <f>"46624"</f>
        <v>46624</v>
      </c>
      <c r="H448" s="1" t="str">
        <f t="shared" si="422"/>
        <v>2022-10-18</v>
      </c>
      <c r="I448" s="1" t="str">
        <f t="shared" si="6"/>
        <v>2</v>
      </c>
      <c r="J448" s="1" t="str">
        <f t="shared" si="7"/>
        <v>Rejected All</v>
      </c>
      <c r="L448" s="1" t="str">
        <f>"47075"</f>
        <v>47075</v>
      </c>
      <c r="M448" s="1" t="str">
        <f t="shared" si="425"/>
        <v>37</v>
      </c>
      <c r="N448" s="1" t="str">
        <f t="shared" si="426"/>
        <v>not being included in the original store packaging</v>
      </c>
    </row>
    <row r="449" ht="14.25" customHeight="1">
      <c r="A449" s="1" t="str">
        <f>"Tattoo Art "</f>
        <v>Tattoo Art </v>
      </c>
      <c r="B449" s="1" t="str">
        <f t="shared" si="423"/>
        <v>10642</v>
      </c>
      <c r="C449" s="1" t="str">
        <f t="shared" si="424"/>
        <v>Publication </v>
      </c>
      <c r="D449" s="1" t="str">
        <f>"Lal Hardy "</f>
        <v>Lal Hardy </v>
      </c>
      <c r="E449" s="1" t="str">
        <f t="shared" si="407"/>
        <v>31</v>
      </c>
      <c r="F449" s="1" t="str">
        <f t="shared" si="408"/>
        <v>Book</v>
      </c>
      <c r="G449" s="1" t="str">
        <f>"46625"</f>
        <v>46625</v>
      </c>
      <c r="H449" s="1" t="str">
        <f t="shared" si="422"/>
        <v>2022-10-18</v>
      </c>
      <c r="I449" s="1" t="str">
        <f t="shared" si="6"/>
        <v>2</v>
      </c>
      <c r="J449" s="1" t="str">
        <f t="shared" si="7"/>
        <v>Rejected All</v>
      </c>
      <c r="L449" s="1" t="str">
        <f>"47076"</f>
        <v>47076</v>
      </c>
      <c r="M449" s="1" t="str">
        <f t="shared" si="425"/>
        <v>37</v>
      </c>
      <c r="N449" s="1" t="str">
        <f t="shared" si="426"/>
        <v>not being included in the original store packaging</v>
      </c>
    </row>
    <row r="450" ht="14.25" customHeight="1">
      <c r="A450" s="1" t="str">
        <f>"Silverview "</f>
        <v>Silverview </v>
      </c>
      <c r="B450" s="1" t="str">
        <f t="shared" si="423"/>
        <v>10642</v>
      </c>
      <c r="C450" s="1" t="str">
        <f t="shared" si="424"/>
        <v>Publication </v>
      </c>
      <c r="D450" s="1" t="str">
        <f>"John Le Carre"</f>
        <v>John Le Carre</v>
      </c>
      <c r="E450" s="1" t="str">
        <f t="shared" si="407"/>
        <v>31</v>
      </c>
      <c r="F450" s="1" t="str">
        <f t="shared" si="408"/>
        <v>Book</v>
      </c>
      <c r="G450" s="1" t="str">
        <f>"46628"</f>
        <v>46628</v>
      </c>
      <c r="H450" s="1" t="str">
        <f t="shared" si="422"/>
        <v>2022-10-18</v>
      </c>
      <c r="I450" s="1" t="str">
        <f t="shared" si="6"/>
        <v>2</v>
      </c>
      <c r="J450" s="1" t="str">
        <f t="shared" si="7"/>
        <v>Rejected All</v>
      </c>
      <c r="L450" s="1" t="str">
        <f>"47079"</f>
        <v>47079</v>
      </c>
      <c r="M450" s="1" t="str">
        <f t="shared" si="425"/>
        <v>37</v>
      </c>
      <c r="N450" s="1" t="str">
        <f t="shared" si="426"/>
        <v>not being included in the original store packaging</v>
      </c>
    </row>
    <row r="451" ht="14.25" customHeight="1">
      <c r="A451" s="1" t="str">
        <f>"Exquisite Corpse "</f>
        <v>Exquisite Corpse </v>
      </c>
      <c r="B451" s="1" t="str">
        <f t="shared" si="423"/>
        <v>10642</v>
      </c>
      <c r="C451" s="1" t="str">
        <f t="shared" si="424"/>
        <v>Publication </v>
      </c>
      <c r="D451" s="1" t="str">
        <f>"Poppy Brite "</f>
        <v>Poppy Brite </v>
      </c>
      <c r="E451" s="1" t="str">
        <f t="shared" si="407"/>
        <v>31</v>
      </c>
      <c r="F451" s="1" t="str">
        <f t="shared" si="408"/>
        <v>Book</v>
      </c>
      <c r="G451" s="1" t="str">
        <f>"46641"</f>
        <v>46641</v>
      </c>
      <c r="H451" s="1" t="str">
        <f t="shared" si="422"/>
        <v>2022-10-18</v>
      </c>
      <c r="I451" s="1" t="str">
        <f t="shared" si="6"/>
        <v>2</v>
      </c>
      <c r="J451" s="1" t="str">
        <f t="shared" si="7"/>
        <v>Rejected All</v>
      </c>
      <c r="L451" s="1" t="str">
        <f>"47092"</f>
        <v>47092</v>
      </c>
      <c r="M451" s="1" t="str">
        <f>"46"</f>
        <v>46</v>
      </c>
      <c r="N451" s="1" t="str">
        <f>"containing written sexually explicit material involving the use of force or non-consent"</f>
        <v>containing written sexually explicit material involving the use of force or non-consent</v>
      </c>
    </row>
    <row r="452" ht="14.25" customHeight="1">
      <c r="A452" s="1" t="str">
        <f>"Start Healthy "</f>
        <v>Start Healthy </v>
      </c>
      <c r="B452" s="1" t="str">
        <f>"382"</f>
        <v>382</v>
      </c>
      <c r="C452" s="1" t="str">
        <f>"#26"</f>
        <v>#26</v>
      </c>
      <c r="D452" s="1" t="str">
        <f>"Felicia Williams "</f>
        <v>Felicia Williams </v>
      </c>
      <c r="E452" s="1" t="str">
        <f t="shared" ref="E452:E453" si="427">"32"</f>
        <v>32</v>
      </c>
      <c r="F452" s="1" t="str">
        <f t="shared" ref="F452:F453" si="428">"Magazine/Newspaper"</f>
        <v>Magazine/Newspaper</v>
      </c>
      <c r="G452" s="1" t="str">
        <f>"46626"</f>
        <v>46626</v>
      </c>
      <c r="H452" s="1" t="str">
        <f t="shared" si="422"/>
        <v>2022-10-18</v>
      </c>
      <c r="I452" s="1" t="str">
        <f t="shared" si="6"/>
        <v>2</v>
      </c>
      <c r="J452" s="1" t="str">
        <f t="shared" si="7"/>
        <v>Rejected All</v>
      </c>
      <c r="L452" s="1" t="str">
        <f>"47077"</f>
        <v>47077</v>
      </c>
      <c r="M452" s="1" t="str">
        <f>"37"</f>
        <v>37</v>
      </c>
      <c r="N452" s="1" t="str">
        <f>"not being included in the original store packaging"</f>
        <v>not being included in the original store packaging</v>
      </c>
    </row>
    <row r="453" ht="14.25" customHeight="1">
      <c r="A453" s="1" t="str">
        <f>"Tattoo Society "</f>
        <v>Tattoo Society </v>
      </c>
      <c r="B453" s="1" t="str">
        <f>"10728"</f>
        <v>10728</v>
      </c>
      <c r="C453" s="1" t="str">
        <f>"Cam Supply Edition "</f>
        <v>Cam Supply Edition </v>
      </c>
      <c r="D453" s="1" t="str">
        <f>"Cam Supply Inc."</f>
        <v>Cam Supply Inc.</v>
      </c>
      <c r="E453" s="1" t="str">
        <f t="shared" si="427"/>
        <v>32</v>
      </c>
      <c r="F453" s="1" t="str">
        <f t="shared" si="428"/>
        <v>Magazine/Newspaper</v>
      </c>
      <c r="G453" s="1" t="str">
        <f>"46620"</f>
        <v>46620</v>
      </c>
      <c r="H453" s="1" t="str">
        <f t="shared" si="422"/>
        <v>2022-10-18</v>
      </c>
      <c r="I453" s="1" t="str">
        <f t="shared" si="6"/>
        <v>2</v>
      </c>
      <c r="J453" s="1" t="str">
        <f t="shared" si="7"/>
        <v>Rejected All</v>
      </c>
      <c r="L453" s="1" t="str">
        <f>"47071"</f>
        <v>47071</v>
      </c>
      <c r="M453" s="1" t="str">
        <f>"42"</f>
        <v>42</v>
      </c>
      <c r="N453" s="1" t="str">
        <f>"containing pictorially explicit nudity"</f>
        <v>containing pictorially explicit nudity</v>
      </c>
    </row>
    <row r="454" ht="14.25" customHeight="1">
      <c r="A454" s="1" t="str">
        <f>"Panzram Butchering Humanity "</f>
        <v>Panzram Butchering Humanity </v>
      </c>
      <c r="B454" s="1" t="str">
        <f>"10642"</f>
        <v>10642</v>
      </c>
      <c r="C454" s="1" t="str">
        <f>"Publication "</f>
        <v>Publication </v>
      </c>
      <c r="D454" s="1" t="str">
        <f>"Carl Panzram"</f>
        <v>Carl Panzram</v>
      </c>
      <c r="E454" s="1" t="str">
        <f t="shared" ref="E454:E474" si="429">"31"</f>
        <v>31</v>
      </c>
      <c r="F454" s="1" t="str">
        <f t="shared" ref="F454:F474" si="430">"Book"</f>
        <v>Book</v>
      </c>
      <c r="G454" s="1" t="str">
        <f>"46719"</f>
        <v>46719</v>
      </c>
      <c r="H454" s="1" t="str">
        <f>"2022-11-01"</f>
        <v>2022-11-01</v>
      </c>
      <c r="I454" s="1" t="str">
        <f t="shared" si="6"/>
        <v>2</v>
      </c>
      <c r="J454" s="1" t="str">
        <f t="shared" si="7"/>
        <v>Rejected All</v>
      </c>
      <c r="L454" s="1" t="str">
        <f>"47170"</f>
        <v>47170</v>
      </c>
      <c r="M454" s="1" t="str">
        <f>"9"</f>
        <v>9</v>
      </c>
      <c r="N454" s="1" t="str">
        <f>"describing or encouraging physical violence or group disruption"</f>
        <v>describing or encouraging physical violence or group disruption</v>
      </c>
    </row>
    <row r="455" ht="14.25" customHeight="1">
      <c r="A455" s="1" t="str">
        <f>"Moonlake"</f>
        <v>Moonlake</v>
      </c>
      <c r="B455" s="1" t="str">
        <f>"10709"</f>
        <v>10709</v>
      </c>
      <c r="C455" s="1" t="str">
        <f>"Midnight Munchies "</f>
        <v>Midnight Munchies </v>
      </c>
      <c r="D455" s="1" t="str">
        <f>"Dan Fogler"</f>
        <v>Dan Fogler</v>
      </c>
      <c r="E455" s="1" t="str">
        <f t="shared" si="429"/>
        <v>31</v>
      </c>
      <c r="F455" s="1" t="str">
        <f t="shared" si="430"/>
        <v>Book</v>
      </c>
      <c r="G455" s="1" t="str">
        <f>"46735"</f>
        <v>46735</v>
      </c>
      <c r="H455" s="1" t="str">
        <f t="shared" ref="H455:H461" si="431">"2022-11-15"</f>
        <v>2022-11-15</v>
      </c>
      <c r="I455" s="1" t="str">
        <f t="shared" si="6"/>
        <v>2</v>
      </c>
      <c r="J455" s="1" t="str">
        <f t="shared" si="7"/>
        <v>Rejected All</v>
      </c>
      <c r="L455" s="1" t="str">
        <f>"47188"</f>
        <v>47188</v>
      </c>
      <c r="M455" s="1" t="str">
        <f>"42"</f>
        <v>42</v>
      </c>
      <c r="N455" s="1" t="str">
        <f>"containing pictorially explicit nudity"</f>
        <v>containing pictorially explicit nudity</v>
      </c>
    </row>
    <row r="456" ht="14.25" customHeight="1">
      <c r="A456" s="1" t="str">
        <f>"A Lonely Married Man"</f>
        <v>A Lonely Married Man</v>
      </c>
      <c r="B456" s="1" t="str">
        <f t="shared" ref="B456:B474" si="432">"10642"</f>
        <v>10642</v>
      </c>
      <c r="C456" s="1" t="str">
        <f t="shared" ref="C456:C474" si="433">"Publication "</f>
        <v>Publication </v>
      </c>
      <c r="D456" s="1" t="str">
        <f>"Derek Jordan"</f>
        <v>Derek Jordan</v>
      </c>
      <c r="E456" s="1" t="str">
        <f t="shared" si="429"/>
        <v>31</v>
      </c>
      <c r="F456" s="1" t="str">
        <f t="shared" si="430"/>
        <v>Book</v>
      </c>
      <c r="G456" s="1" t="str">
        <f>"46646"</f>
        <v>46646</v>
      </c>
      <c r="H456" s="1" t="str">
        <f t="shared" si="431"/>
        <v>2022-11-15</v>
      </c>
      <c r="I456" s="1" t="str">
        <f t="shared" si="6"/>
        <v>2</v>
      </c>
      <c r="J456" s="1" t="str">
        <f t="shared" si="7"/>
        <v>Rejected All</v>
      </c>
      <c r="L456" s="1" t="str">
        <f>"47097"</f>
        <v>47097</v>
      </c>
      <c r="M456" s="1" t="str">
        <f>"45"</f>
        <v>45</v>
      </c>
      <c r="N456" s="1" t="str">
        <f>"containing written sexually explicit material involving minors"</f>
        <v>containing written sexually explicit material involving minors</v>
      </c>
    </row>
    <row r="457" ht="14.25" customHeight="1">
      <c r="A457" s="1" t="str">
        <f>"How to Build a Dungeon "</f>
        <v>How to Build a Dungeon </v>
      </c>
      <c r="B457" s="1" t="str">
        <f t="shared" si="432"/>
        <v>10642</v>
      </c>
      <c r="C457" s="1" t="str">
        <f t="shared" si="433"/>
        <v>Publication </v>
      </c>
      <c r="D457" s="1" t="str">
        <f>"Warau Yakan "</f>
        <v>Warau Yakan </v>
      </c>
      <c r="E457" s="1" t="str">
        <f t="shared" si="429"/>
        <v>31</v>
      </c>
      <c r="F457" s="1" t="str">
        <f t="shared" si="430"/>
        <v>Book</v>
      </c>
      <c r="G457" s="1" t="str">
        <f>"46674"</f>
        <v>46674</v>
      </c>
      <c r="H457" s="1" t="str">
        <f t="shared" si="431"/>
        <v>2022-11-15</v>
      </c>
      <c r="I457" s="1" t="str">
        <f t="shared" si="6"/>
        <v>2</v>
      </c>
      <c r="J457" s="1" t="str">
        <f t="shared" si="7"/>
        <v>Rejected All</v>
      </c>
      <c r="L457" s="1" t="str">
        <f>"47125"</f>
        <v>47125</v>
      </c>
      <c r="M457" s="1" t="str">
        <f>"41"</f>
        <v>41</v>
      </c>
      <c r="N457" s="1" t="str">
        <f>"containing pictorially explicit sexual activity"</f>
        <v>containing pictorially explicit sexual activity</v>
      </c>
    </row>
    <row r="458" ht="14.25" customHeight="1">
      <c r="A458" s="1" t="s">
        <v>17</v>
      </c>
      <c r="B458" s="1" t="str">
        <f t="shared" si="432"/>
        <v>10642</v>
      </c>
      <c r="C458" s="1" t="str">
        <f t="shared" si="433"/>
        <v>Publication </v>
      </c>
      <c r="D458" s="1" t="str">
        <f>"Angela Kaelin"</f>
        <v>Angela Kaelin</v>
      </c>
      <c r="E458" s="1" t="str">
        <f t="shared" si="429"/>
        <v>31</v>
      </c>
      <c r="F458" s="1" t="str">
        <f t="shared" si="430"/>
        <v>Book</v>
      </c>
      <c r="G458" s="1" t="str">
        <f>"46720"</f>
        <v>46720</v>
      </c>
      <c r="H458" s="1" t="str">
        <f t="shared" si="431"/>
        <v>2022-11-15</v>
      </c>
      <c r="I458" s="1" t="str">
        <f t="shared" si="6"/>
        <v>2</v>
      </c>
      <c r="J458" s="1" t="str">
        <f t="shared" si="7"/>
        <v>Rejected All</v>
      </c>
      <c r="L458" s="1" t="str">
        <f>"47171"</f>
        <v>47171</v>
      </c>
      <c r="M458" s="1" t="str">
        <f>"8"</f>
        <v>8</v>
      </c>
      <c r="N458" s="1" t="str">
        <f>"containing writings in code"</f>
        <v>containing writings in code</v>
      </c>
    </row>
    <row r="459" ht="14.25" customHeight="1">
      <c r="A459" s="1" t="str">
        <f>"Haunted Universes "</f>
        <v>Haunted Universes </v>
      </c>
      <c r="B459" s="1" t="str">
        <f t="shared" si="432"/>
        <v>10642</v>
      </c>
      <c r="C459" s="1" t="str">
        <f t="shared" si="433"/>
        <v>Publication </v>
      </c>
      <c r="D459" s="1" t="str">
        <f>"Ashley Wood "</f>
        <v>Ashley Wood </v>
      </c>
      <c r="E459" s="1" t="str">
        <f t="shared" si="429"/>
        <v>31</v>
      </c>
      <c r="F459" s="1" t="str">
        <f t="shared" si="430"/>
        <v>Book</v>
      </c>
      <c r="G459" s="1" t="str">
        <f>"46723"</f>
        <v>46723</v>
      </c>
      <c r="H459" s="1" t="str">
        <f t="shared" si="431"/>
        <v>2022-11-15</v>
      </c>
      <c r="I459" s="1" t="str">
        <f t="shared" si="6"/>
        <v>2</v>
      </c>
      <c r="J459" s="1" t="str">
        <f t="shared" si="7"/>
        <v>Rejected All</v>
      </c>
      <c r="L459" s="1" t="str">
        <f>"47174"</f>
        <v>47174</v>
      </c>
      <c r="M459" s="1" t="str">
        <f>"42"</f>
        <v>42</v>
      </c>
      <c r="N459" s="1" t="str">
        <f>"containing pictorially explicit nudity"</f>
        <v>containing pictorially explicit nudity</v>
      </c>
    </row>
    <row r="460" ht="14.25" customHeight="1">
      <c r="A460" s="1" t="str">
        <f>"Nightmare in Elm City "</f>
        <v>Nightmare in Elm City </v>
      </c>
      <c r="B460" s="1" t="str">
        <f t="shared" si="432"/>
        <v>10642</v>
      </c>
      <c r="C460" s="1" t="str">
        <f t="shared" si="433"/>
        <v>Publication </v>
      </c>
      <c r="D460" s="1" t="str">
        <f>"Maineyo"</f>
        <v>Maineyo</v>
      </c>
      <c r="E460" s="1" t="str">
        <f t="shared" si="429"/>
        <v>31</v>
      </c>
      <c r="F460" s="1" t="str">
        <f t="shared" si="430"/>
        <v>Book</v>
      </c>
      <c r="G460" s="1" t="str">
        <f>"46730"</f>
        <v>46730</v>
      </c>
      <c r="H460" s="1" t="str">
        <f t="shared" si="431"/>
        <v>2022-11-15</v>
      </c>
      <c r="I460" s="1" t="str">
        <f t="shared" si="6"/>
        <v>2</v>
      </c>
      <c r="J460" s="1" t="str">
        <f t="shared" si="7"/>
        <v>Rejected All</v>
      </c>
      <c r="L460" s="1" t="str">
        <f>"47181"</f>
        <v>47181</v>
      </c>
      <c r="M460" s="1" t="str">
        <f>"9"</f>
        <v>9</v>
      </c>
      <c r="N460" s="1" t="str">
        <f>"describing or encouraging physical violence or group disruption"</f>
        <v>describing or encouraging physical violence or group disruption</v>
      </c>
    </row>
    <row r="461" ht="14.25" customHeight="1">
      <c r="A461" s="1" t="str">
        <f>"The Ghost in a Shell"</f>
        <v>The Ghost in a Shell</v>
      </c>
      <c r="B461" s="1" t="str">
        <f t="shared" si="432"/>
        <v>10642</v>
      </c>
      <c r="C461" s="1" t="str">
        <f t="shared" si="433"/>
        <v>Publication </v>
      </c>
      <c r="D461" s="1" t="str">
        <f>"Shirow Masamume"</f>
        <v>Shirow Masamume</v>
      </c>
      <c r="E461" s="1" t="str">
        <f t="shared" si="429"/>
        <v>31</v>
      </c>
      <c r="F461" s="1" t="str">
        <f t="shared" si="430"/>
        <v>Book</v>
      </c>
      <c r="G461" s="1" t="str">
        <f>"46734"</f>
        <v>46734</v>
      </c>
      <c r="H461" s="1" t="str">
        <f t="shared" si="431"/>
        <v>2022-11-15</v>
      </c>
      <c r="I461" s="1" t="str">
        <f t="shared" si="6"/>
        <v>2</v>
      </c>
      <c r="J461" s="1" t="str">
        <f t="shared" si="7"/>
        <v>Rejected All</v>
      </c>
      <c r="L461" s="1" t="str">
        <f>"47186"</f>
        <v>47186</v>
      </c>
      <c r="M461" s="1" t="str">
        <f>"43"</f>
        <v>43</v>
      </c>
      <c r="N461" s="1" t="str">
        <f>"containing written sexually explicit / sado-masochistic behavior"</f>
        <v>containing written sexually explicit / sado-masochistic behavior</v>
      </c>
    </row>
    <row r="462" ht="14.25" customHeight="1">
      <c r="A462" s="1" t="str">
        <f>"The Forbiddance of Homosexuality "</f>
        <v>The Forbiddance of Homosexuality </v>
      </c>
      <c r="B462" s="1" t="str">
        <f t="shared" si="432"/>
        <v>10642</v>
      </c>
      <c r="C462" s="1" t="str">
        <f t="shared" si="433"/>
        <v>Publication </v>
      </c>
      <c r="D462" s="1" t="str">
        <f>"Al Hafith Abu Bakr Muhammed Bin l Hussain Al Aajuree"</f>
        <v>Al Hafith Abu Bakr Muhammed Bin l Hussain Al Aajuree</v>
      </c>
      <c r="E462" s="1" t="str">
        <f t="shared" si="429"/>
        <v>31</v>
      </c>
      <c r="F462" s="1" t="str">
        <f t="shared" si="430"/>
        <v>Book</v>
      </c>
      <c r="G462" s="1" t="str">
        <f>"46745"</f>
        <v>46745</v>
      </c>
      <c r="H462" s="1" t="str">
        <f t="shared" ref="H462:H476" si="434">"2022-12-06"</f>
        <v>2022-12-06</v>
      </c>
      <c r="I462" s="1" t="str">
        <f t="shared" si="6"/>
        <v>2</v>
      </c>
      <c r="J462" s="1" t="str">
        <f t="shared" si="7"/>
        <v>Rejected All</v>
      </c>
      <c r="L462" s="1" t="str">
        <f>"47195"</f>
        <v>47195</v>
      </c>
      <c r="M462" s="1" t="str">
        <f>"9"</f>
        <v>9</v>
      </c>
      <c r="N462" s="1" t="str">
        <f>"describing or encouraging physical violence or group disruption"</f>
        <v>describing or encouraging physical violence or group disruption</v>
      </c>
    </row>
    <row r="463" ht="14.25" customHeight="1">
      <c r="A463" s="1" t="str">
        <f>"TIKHAL - The Continuation "</f>
        <v>TIKHAL - The Continuation </v>
      </c>
      <c r="B463" s="1" t="str">
        <f t="shared" si="432"/>
        <v>10642</v>
      </c>
      <c r="C463" s="1" t="str">
        <f t="shared" si="433"/>
        <v>Publication </v>
      </c>
      <c r="D463" s="1" t="str">
        <f>"Alexander Shulgin &amp;amp; Ann Shulgin"</f>
        <v>Alexander Shulgin &amp;amp; Ann Shulgin</v>
      </c>
      <c r="E463" s="1" t="str">
        <f t="shared" si="429"/>
        <v>31</v>
      </c>
      <c r="F463" s="1" t="str">
        <f t="shared" si="430"/>
        <v>Book</v>
      </c>
      <c r="G463" s="1" t="str">
        <f>"46746"</f>
        <v>46746</v>
      </c>
      <c r="H463" s="1" t="str">
        <f t="shared" si="434"/>
        <v>2022-12-06</v>
      </c>
      <c r="I463" s="1" t="str">
        <f t="shared" si="6"/>
        <v>2</v>
      </c>
      <c r="J463" s="1" t="str">
        <f t="shared" si="7"/>
        <v>Rejected All</v>
      </c>
      <c r="L463" s="1" t="str">
        <f>"47197"</f>
        <v>47197</v>
      </c>
      <c r="M463" s="1" t="str">
        <f>"8"</f>
        <v>8</v>
      </c>
      <c r="N463" s="1" t="str">
        <f>"containing writings in code"</f>
        <v>containing writings in code</v>
      </c>
    </row>
    <row r="464" ht="14.25" customHeight="1">
      <c r="A464" s="1" t="str">
        <f>"TEACH ME TOO"</f>
        <v>TEACH ME TOO</v>
      </c>
      <c r="B464" s="1" t="str">
        <f t="shared" si="432"/>
        <v>10642</v>
      </c>
      <c r="C464" s="1" t="str">
        <f t="shared" si="433"/>
        <v>Publication </v>
      </c>
      <c r="D464" s="1" t="str">
        <f>"Enrique Villaram"</f>
        <v>Enrique Villaram</v>
      </c>
      <c r="E464" s="1" t="str">
        <f t="shared" si="429"/>
        <v>31</v>
      </c>
      <c r="F464" s="1" t="str">
        <f t="shared" si="430"/>
        <v>Book</v>
      </c>
      <c r="G464" s="1" t="str">
        <f>"46747"</f>
        <v>46747</v>
      </c>
      <c r="H464" s="1" t="str">
        <f t="shared" si="434"/>
        <v>2022-12-06</v>
      </c>
      <c r="I464" s="1" t="str">
        <f t="shared" si="6"/>
        <v>2</v>
      </c>
      <c r="J464" s="1" t="str">
        <f t="shared" si="7"/>
        <v>Rejected All</v>
      </c>
      <c r="L464" s="1" t="str">
        <f>"47198"</f>
        <v>47198</v>
      </c>
      <c r="M464" s="1" t="str">
        <f>"41"</f>
        <v>41</v>
      </c>
      <c r="N464" s="1" t="str">
        <f>"containing pictorially explicit sexual activity"</f>
        <v>containing pictorially explicit sexual activity</v>
      </c>
    </row>
    <row r="465" ht="14.25" customHeight="1">
      <c r="A465" s="1" t="str">
        <f>"Burn"</f>
        <v>Burn</v>
      </c>
      <c r="B465" s="1" t="str">
        <f t="shared" si="432"/>
        <v>10642</v>
      </c>
      <c r="C465" s="1" t="str">
        <f t="shared" si="433"/>
        <v>Publication </v>
      </c>
      <c r="D465" s="1" t="str">
        <f>"Maya Banks "</f>
        <v>Maya Banks </v>
      </c>
      <c r="E465" s="1" t="str">
        <f t="shared" si="429"/>
        <v>31</v>
      </c>
      <c r="F465" s="1" t="str">
        <f t="shared" si="430"/>
        <v>Book</v>
      </c>
      <c r="G465" s="1" t="str">
        <f>"46748"</f>
        <v>46748</v>
      </c>
      <c r="H465" s="1" t="str">
        <f t="shared" si="434"/>
        <v>2022-12-06</v>
      </c>
      <c r="I465" s="1" t="str">
        <f t="shared" si="6"/>
        <v>2</v>
      </c>
      <c r="J465" s="1" t="str">
        <f t="shared" si="7"/>
        <v>Rejected All</v>
      </c>
      <c r="L465" s="1" t="str">
        <f>"47199"</f>
        <v>47199</v>
      </c>
      <c r="M465" s="1" t="str">
        <f>"43"</f>
        <v>43</v>
      </c>
      <c r="N465" s="1" t="str">
        <f>"containing written sexually explicit / sado-masochistic behavior"</f>
        <v>containing written sexually explicit / sado-masochistic behavior</v>
      </c>
    </row>
    <row r="466" ht="14.25" customHeight="1">
      <c r="A466" s="1" t="str">
        <f>"Naive to the Street"</f>
        <v>Naive to the Street</v>
      </c>
      <c r="B466" s="1" t="str">
        <f t="shared" si="432"/>
        <v>10642</v>
      </c>
      <c r="C466" s="1" t="str">
        <f t="shared" si="433"/>
        <v>Publication </v>
      </c>
      <c r="D466" s="1" t="s">
        <v>18</v>
      </c>
      <c r="E466" s="1" t="str">
        <f t="shared" si="429"/>
        <v>31</v>
      </c>
      <c r="F466" s="1" t="str">
        <f t="shared" si="430"/>
        <v>Book</v>
      </c>
      <c r="G466" s="1" t="str">
        <f>"46749"</f>
        <v>46749</v>
      </c>
      <c r="H466" s="1" t="str">
        <f t="shared" si="434"/>
        <v>2022-12-06</v>
      </c>
      <c r="I466" s="1" t="str">
        <f t="shared" si="6"/>
        <v>2</v>
      </c>
      <c r="J466" s="1" t="str">
        <f t="shared" si="7"/>
        <v>Rejected All</v>
      </c>
      <c r="L466" s="1" t="str">
        <f>"47200"</f>
        <v>47200</v>
      </c>
      <c r="M466" s="1" t="str">
        <f>"45"</f>
        <v>45</v>
      </c>
      <c r="N466" s="1" t="str">
        <f>"containing written sexually explicit material involving minors"</f>
        <v>containing written sexually explicit material involving minors</v>
      </c>
    </row>
    <row r="467" ht="14.25" customHeight="1">
      <c r="A467" s="1" t="str">
        <f>"Addicted "</f>
        <v>Addicted </v>
      </c>
      <c r="B467" s="1" t="str">
        <f t="shared" si="432"/>
        <v>10642</v>
      </c>
      <c r="C467" s="1" t="str">
        <f t="shared" si="433"/>
        <v>Publication </v>
      </c>
      <c r="D467" s="1" t="str">
        <f>"Zane "</f>
        <v>Zane </v>
      </c>
      <c r="E467" s="1" t="str">
        <f t="shared" si="429"/>
        <v>31</v>
      </c>
      <c r="F467" s="1" t="str">
        <f t="shared" si="430"/>
        <v>Book</v>
      </c>
      <c r="G467" s="1" t="str">
        <f>"46750"</f>
        <v>46750</v>
      </c>
      <c r="H467" s="1" t="str">
        <f t="shared" si="434"/>
        <v>2022-12-06</v>
      </c>
      <c r="I467" s="1" t="str">
        <f t="shared" si="6"/>
        <v>2</v>
      </c>
      <c r="J467" s="1" t="str">
        <f t="shared" si="7"/>
        <v>Rejected All</v>
      </c>
      <c r="L467" s="1" t="str">
        <f>"47201"</f>
        <v>47201</v>
      </c>
      <c r="M467" s="1" t="str">
        <f>"43"</f>
        <v>43</v>
      </c>
      <c r="N467" s="1" t="str">
        <f>"containing written sexually explicit / sado-masochistic behavior"</f>
        <v>containing written sexually explicit / sado-masochistic behavior</v>
      </c>
    </row>
    <row r="468" ht="14.25" customHeight="1">
      <c r="A468" s="1" t="str">
        <f>"Devil&amp;#39;s Pllayground"</f>
        <v>Devil&amp;#39;s Pllayground</v>
      </c>
      <c r="B468" s="1" t="str">
        <f t="shared" si="432"/>
        <v>10642</v>
      </c>
      <c r="C468" s="1" t="str">
        <f t="shared" si="433"/>
        <v>Publication </v>
      </c>
      <c r="D468" s="1" t="str">
        <f>"Fastner &amp;amp; Larson "</f>
        <v>Fastner &amp;amp; Larson </v>
      </c>
      <c r="E468" s="1" t="str">
        <f t="shared" si="429"/>
        <v>31</v>
      </c>
      <c r="F468" s="1" t="str">
        <f t="shared" si="430"/>
        <v>Book</v>
      </c>
      <c r="G468" s="1" t="str">
        <f>"46751"</f>
        <v>46751</v>
      </c>
      <c r="H468" s="1" t="str">
        <f t="shared" si="434"/>
        <v>2022-12-06</v>
      </c>
      <c r="I468" s="1" t="str">
        <f t="shared" si="6"/>
        <v>2</v>
      </c>
      <c r="J468" s="1" t="str">
        <f t="shared" si="7"/>
        <v>Rejected All</v>
      </c>
      <c r="L468" s="1" t="str">
        <f>"47202"</f>
        <v>47202</v>
      </c>
      <c r="M468" s="1" t="str">
        <f t="shared" ref="M468:M469" si="435">"42"</f>
        <v>42</v>
      </c>
      <c r="N468" s="1" t="str">
        <f t="shared" ref="N468:N469" si="436">"containing pictorially explicit nudity"</f>
        <v>containing pictorially explicit nudity</v>
      </c>
    </row>
    <row r="469" ht="14.25" customHeight="1">
      <c r="A469" s="1" t="str">
        <f>"High Gloss "</f>
        <v>High Gloss </v>
      </c>
      <c r="B469" s="1" t="str">
        <f t="shared" si="432"/>
        <v>10642</v>
      </c>
      <c r="C469" s="1" t="str">
        <f t="shared" si="433"/>
        <v>Publication </v>
      </c>
      <c r="D469" s="1" t="str">
        <f>"Vijat Mohindra "</f>
        <v>Vijat Mohindra </v>
      </c>
      <c r="E469" s="1" t="str">
        <f t="shared" si="429"/>
        <v>31</v>
      </c>
      <c r="F469" s="1" t="str">
        <f t="shared" si="430"/>
        <v>Book</v>
      </c>
      <c r="G469" s="1" t="str">
        <f>"46752"</f>
        <v>46752</v>
      </c>
      <c r="H469" s="1" t="str">
        <f t="shared" si="434"/>
        <v>2022-12-06</v>
      </c>
      <c r="I469" s="1" t="str">
        <f t="shared" si="6"/>
        <v>2</v>
      </c>
      <c r="J469" s="1" t="str">
        <f t="shared" si="7"/>
        <v>Rejected All</v>
      </c>
      <c r="L469" s="1" t="str">
        <f>"47203"</f>
        <v>47203</v>
      </c>
      <c r="M469" s="1" t="str">
        <f t="shared" si="435"/>
        <v>42</v>
      </c>
      <c r="N469" s="1" t="str">
        <f t="shared" si="436"/>
        <v>containing pictorially explicit nudity</v>
      </c>
    </row>
    <row r="470" ht="14.25" customHeight="1">
      <c r="A470" s="1" t="str">
        <f>"Akido "</f>
        <v>Akido </v>
      </c>
      <c r="B470" s="1" t="str">
        <f t="shared" si="432"/>
        <v>10642</v>
      </c>
      <c r="C470" s="1" t="str">
        <f t="shared" si="433"/>
        <v>Publication </v>
      </c>
      <c r="D470" s="1" t="str">
        <f>"Hong Thing Dang &amp;amp; Lynn Seiser "</f>
        <v>Hong Thing Dang &amp;amp; Lynn Seiser </v>
      </c>
      <c r="E470" s="1" t="str">
        <f t="shared" si="429"/>
        <v>31</v>
      </c>
      <c r="F470" s="1" t="str">
        <f t="shared" si="430"/>
        <v>Book</v>
      </c>
      <c r="G470" s="1" t="str">
        <f>"46753"</f>
        <v>46753</v>
      </c>
      <c r="H470" s="1" t="str">
        <f t="shared" si="434"/>
        <v>2022-12-06</v>
      </c>
      <c r="I470" s="1" t="str">
        <f t="shared" si="6"/>
        <v>2</v>
      </c>
      <c r="J470" s="1" t="str">
        <f t="shared" si="7"/>
        <v>Rejected All</v>
      </c>
      <c r="L470" s="1" t="str">
        <f>"47204"</f>
        <v>47204</v>
      </c>
      <c r="M470" s="1" t="str">
        <f>"40"</f>
        <v>40</v>
      </c>
      <c r="N470" s="1" t="str">
        <f>"describing fighting techniques"</f>
        <v>describing fighting techniques</v>
      </c>
    </row>
    <row r="471" ht="14.25" customHeight="1">
      <c r="A471" s="1" t="str">
        <f>"Aprende Pything an un fin de semana"</f>
        <v>Aprende Pything an un fin de semana</v>
      </c>
      <c r="B471" s="1" t="str">
        <f t="shared" si="432"/>
        <v>10642</v>
      </c>
      <c r="C471" s="1" t="str">
        <f t="shared" si="433"/>
        <v>Publication </v>
      </c>
      <c r="D471" s="1" t="str">
        <f>"Alfredo Munoz "</f>
        <v>Alfredo Munoz </v>
      </c>
      <c r="E471" s="1" t="str">
        <f t="shared" si="429"/>
        <v>31</v>
      </c>
      <c r="F471" s="1" t="str">
        <f t="shared" si="430"/>
        <v>Book</v>
      </c>
      <c r="G471" s="1" t="str">
        <f>"46758"</f>
        <v>46758</v>
      </c>
      <c r="H471" s="1" t="str">
        <f t="shared" si="434"/>
        <v>2022-12-06</v>
      </c>
      <c r="I471" s="1" t="str">
        <f t="shared" si="6"/>
        <v>2</v>
      </c>
      <c r="J471" s="1" t="str">
        <f t="shared" si="7"/>
        <v>Rejected All</v>
      </c>
      <c r="L471" s="1" t="str">
        <f>"47209"</f>
        <v>47209</v>
      </c>
      <c r="M471" s="1" t="str">
        <f>"39"</f>
        <v>39</v>
      </c>
      <c r="N471" s="1" t="str">
        <f>"being detrimental to security for the following reason:"</f>
        <v>being detrimental to security for the following reason:</v>
      </c>
    </row>
    <row r="472" ht="14.25" customHeight="1">
      <c r="A472" s="1" t="str">
        <f>"Marijuana Lets Grow a Pound "</f>
        <v>Marijuana Lets Grow a Pound </v>
      </c>
      <c r="B472" s="1" t="str">
        <f t="shared" si="432"/>
        <v>10642</v>
      </c>
      <c r="C472" s="1" t="str">
        <f t="shared" si="433"/>
        <v>Publication </v>
      </c>
      <c r="D472" s="1" t="str">
        <f>"See More Buds"</f>
        <v>See More Buds</v>
      </c>
      <c r="E472" s="1" t="str">
        <f t="shared" si="429"/>
        <v>31</v>
      </c>
      <c r="F472" s="1" t="str">
        <f t="shared" si="430"/>
        <v>Book</v>
      </c>
      <c r="G472" s="1" t="str">
        <f>"46759"</f>
        <v>46759</v>
      </c>
      <c r="H472" s="1" t="str">
        <f t="shared" si="434"/>
        <v>2022-12-06</v>
      </c>
      <c r="I472" s="1" t="str">
        <f t="shared" si="6"/>
        <v>2</v>
      </c>
      <c r="J472" s="1" t="str">
        <f t="shared" si="7"/>
        <v>Rejected All</v>
      </c>
      <c r="L472" s="1" t="str">
        <f>"47210"</f>
        <v>47210</v>
      </c>
      <c r="M472" s="1" t="str">
        <f>"7"</f>
        <v>7</v>
      </c>
      <c r="N472" s="1" t="str">
        <f>"describing procedures to brew alcohol or manufacture drugs"</f>
        <v>describing procedures to brew alcohol or manufacture drugs</v>
      </c>
    </row>
    <row r="473" ht="14.25" customHeight="1">
      <c r="A473" s="1" t="str">
        <f>"Fluids "</f>
        <v>Fluids </v>
      </c>
      <c r="B473" s="1" t="str">
        <f t="shared" si="432"/>
        <v>10642</v>
      </c>
      <c r="C473" s="1" t="str">
        <f t="shared" si="433"/>
        <v>Publication </v>
      </c>
      <c r="D473" s="1" t="str">
        <f>"May Leitz "</f>
        <v>May Leitz </v>
      </c>
      <c r="E473" s="1" t="str">
        <f t="shared" si="429"/>
        <v>31</v>
      </c>
      <c r="F473" s="1" t="str">
        <f t="shared" si="430"/>
        <v>Book</v>
      </c>
      <c r="G473" s="1" t="str">
        <f>"46768"</f>
        <v>46768</v>
      </c>
      <c r="H473" s="1" t="str">
        <f t="shared" si="434"/>
        <v>2022-12-06</v>
      </c>
      <c r="I473" s="1" t="str">
        <f t="shared" si="6"/>
        <v>2</v>
      </c>
      <c r="J473" s="1" t="str">
        <f t="shared" si="7"/>
        <v>Rejected All</v>
      </c>
      <c r="L473" s="1" t="str">
        <f>"47219"</f>
        <v>47219</v>
      </c>
      <c r="M473" s="1" t="str">
        <f>"46"</f>
        <v>46</v>
      </c>
      <c r="N473" s="1" t="str">
        <f>"containing written sexually explicit material involving the use of force or non-consent"</f>
        <v>containing written sexually explicit material involving the use of force or non-consent</v>
      </c>
    </row>
    <row r="474" ht="14.25" customHeight="1">
      <c r="A474" s="1" t="str">
        <f>"Understand Me an American Experience"</f>
        <v>Understand Me an American Experience</v>
      </c>
      <c r="B474" s="1" t="str">
        <f t="shared" si="432"/>
        <v>10642</v>
      </c>
      <c r="C474" s="1" t="str">
        <f t="shared" si="433"/>
        <v>Publication </v>
      </c>
      <c r="D474" s="1" t="str">
        <f>"Eric Brown "</f>
        <v>Eric Brown </v>
      </c>
      <c r="E474" s="1" t="str">
        <f t="shared" si="429"/>
        <v>31</v>
      </c>
      <c r="F474" s="1" t="str">
        <f t="shared" si="430"/>
        <v>Book</v>
      </c>
      <c r="G474" s="1" t="str">
        <f>"46769"</f>
        <v>46769</v>
      </c>
      <c r="H474" s="1" t="str">
        <f t="shared" si="434"/>
        <v>2022-12-06</v>
      </c>
      <c r="I474" s="1" t="str">
        <f t="shared" si="6"/>
        <v>2</v>
      </c>
      <c r="J474" s="1" t="str">
        <f t="shared" si="7"/>
        <v>Rejected All</v>
      </c>
      <c r="L474" s="1" t="str">
        <f>"47220"</f>
        <v>47220</v>
      </c>
      <c r="M474" s="1" t="str">
        <f>"39"</f>
        <v>39</v>
      </c>
      <c r="N474" s="1" t="str">
        <f>"being detrimental to security for the following reason:"</f>
        <v>being detrimental to security for the following reason:</v>
      </c>
    </row>
    <row r="475" ht="14.25" customHeight="1">
      <c r="A475" s="1" t="str">
        <f>"KREAM "</f>
        <v>KREAM </v>
      </c>
      <c r="B475" s="1" t="str">
        <f>"10749"</f>
        <v>10749</v>
      </c>
      <c r="C475" s="1" t="str">
        <f>"Blonde Bella "</f>
        <v>Blonde Bella </v>
      </c>
      <c r="D475" s="2" t="str">
        <f>"LOCKDOWNBOOKZ.COM"</f>
        <v>LOCKDOWNBOOKZ.COM</v>
      </c>
      <c r="E475" s="1" t="str">
        <f t="shared" ref="E475:E476" si="437">"32"</f>
        <v>32</v>
      </c>
      <c r="F475" s="1" t="str">
        <f t="shared" ref="F475:F476" si="438">"Magazine/Newspaper"</f>
        <v>Magazine/Newspaper</v>
      </c>
      <c r="G475" s="1" t="str">
        <f>"46740"</f>
        <v>46740</v>
      </c>
      <c r="H475" s="1" t="str">
        <f t="shared" si="434"/>
        <v>2022-12-06</v>
      </c>
      <c r="I475" s="1" t="str">
        <f t="shared" si="6"/>
        <v>2</v>
      </c>
      <c r="J475" s="1" t="str">
        <f t="shared" si="7"/>
        <v>Rejected All</v>
      </c>
      <c r="L475" s="1" t="str">
        <f>"47190"</f>
        <v>47190</v>
      </c>
      <c r="M475" s="1" t="str">
        <f t="shared" ref="M475:M476" si="439">"43"</f>
        <v>43</v>
      </c>
      <c r="N475" s="1" t="str">
        <f t="shared" ref="N475:N476" si="440">"containing written sexually explicit / sado-masochistic behavior"</f>
        <v>containing written sexually explicit / sado-masochistic behavior</v>
      </c>
    </row>
    <row r="476" ht="14.25" customHeight="1">
      <c r="A476" s="1" t="str">
        <f>"Barbie Black"</f>
        <v>Barbie Black</v>
      </c>
      <c r="B476" s="1" t="str">
        <f>"1883"</f>
        <v>1883</v>
      </c>
      <c r="C476" s="1" t="str">
        <f>"Issue #3"</f>
        <v>Issue #3</v>
      </c>
      <c r="D476" s="1" t="str">
        <f>"REDIT-X"</f>
        <v>REDIT-X</v>
      </c>
      <c r="E476" s="1" t="str">
        <f t="shared" si="437"/>
        <v>32</v>
      </c>
      <c r="F476" s="1" t="str">
        <f t="shared" si="438"/>
        <v>Magazine/Newspaper</v>
      </c>
      <c r="G476" s="1" t="str">
        <f>"46743"</f>
        <v>46743</v>
      </c>
      <c r="H476" s="1" t="str">
        <f t="shared" si="434"/>
        <v>2022-12-06</v>
      </c>
      <c r="I476" s="1" t="str">
        <f t="shared" si="6"/>
        <v>2</v>
      </c>
      <c r="J476" s="1" t="str">
        <f t="shared" si="7"/>
        <v>Rejected All</v>
      </c>
      <c r="L476" s="1" t="str">
        <f>"47193"</f>
        <v>47193</v>
      </c>
      <c r="M476" s="1" t="str">
        <f t="shared" si="439"/>
        <v>43</v>
      </c>
      <c r="N476" s="1" t="str">
        <f t="shared" si="440"/>
        <v>containing written sexually explicit / sado-masochistic behavior</v>
      </c>
    </row>
    <row r="477" ht="14.25" customHeight="1">
      <c r="A477" s="1" t="str">
        <f t="shared" ref="A477:A478" si="441">"Tihkal The Continuation"</f>
        <v>Tihkal The Continuation</v>
      </c>
      <c r="B477" s="1" t="str">
        <f t="shared" ref="B477:B480" si="442">"0"</f>
        <v>0</v>
      </c>
      <c r="C477" s="1" t="str">
        <f t="shared" ref="C477:C480" si="443">"n/a"</f>
        <v>n/a</v>
      </c>
      <c r="D477" s="1" t="str">
        <f t="shared" ref="D477:D478" si="444">"Alexander Shulgin &amp;amp; Ann Shulgin"</f>
        <v>Alexander Shulgin &amp;amp; Ann Shulgin</v>
      </c>
      <c r="E477" s="1" t="str">
        <f t="shared" ref="E477:E502" si="445">"31"</f>
        <v>31</v>
      </c>
      <c r="F477" s="1" t="str">
        <f t="shared" ref="F477:F502" si="446">"Book"</f>
        <v>Book</v>
      </c>
      <c r="G477" s="1" t="str">
        <f t="shared" ref="G477:G478" si="447">"40432"</f>
        <v>40432</v>
      </c>
      <c r="H477" s="1" t="str">
        <f t="shared" ref="H477:H478" si="448">"2022-12-20"</f>
        <v>2022-12-20</v>
      </c>
      <c r="I477" s="1" t="str">
        <f t="shared" si="6"/>
        <v>2</v>
      </c>
      <c r="J477" s="1" t="str">
        <f t="shared" si="7"/>
        <v>Rejected All</v>
      </c>
      <c r="L477" s="1" t="str">
        <f t="shared" ref="L477:L478" si="449">"40749"</f>
        <v>40749</v>
      </c>
      <c r="M477" s="1" t="str">
        <f>"7"</f>
        <v>7</v>
      </c>
      <c r="N477" s="1" t="str">
        <f>"describing procedures to brew alcohol or manufacture drugs"</f>
        <v>describing procedures to brew alcohol or manufacture drugs</v>
      </c>
    </row>
    <row r="478" ht="14.25" customHeight="1">
      <c r="A478" s="1" t="str">
        <f t="shared" si="441"/>
        <v>Tihkal The Continuation</v>
      </c>
      <c r="B478" s="1" t="str">
        <f t="shared" si="442"/>
        <v>0</v>
      </c>
      <c r="C478" s="1" t="str">
        <f t="shared" si="443"/>
        <v>n/a</v>
      </c>
      <c r="D478" s="1" t="str">
        <f t="shared" si="444"/>
        <v>Alexander Shulgin &amp;amp; Ann Shulgin</v>
      </c>
      <c r="E478" s="1" t="str">
        <f t="shared" si="445"/>
        <v>31</v>
      </c>
      <c r="F478" s="1" t="str">
        <f t="shared" si="446"/>
        <v>Book</v>
      </c>
      <c r="G478" s="1" t="str">
        <f t="shared" si="447"/>
        <v>40432</v>
      </c>
      <c r="H478" s="1" t="str">
        <f t="shared" si="448"/>
        <v>2022-12-20</v>
      </c>
      <c r="I478" s="1" t="str">
        <f t="shared" si="6"/>
        <v>2</v>
      </c>
      <c r="J478" s="1" t="str">
        <f t="shared" si="7"/>
        <v>Rejected All</v>
      </c>
      <c r="L478" s="1" t="str">
        <f t="shared" si="449"/>
        <v>40749</v>
      </c>
      <c r="M478" s="1" t="str">
        <f>"8"</f>
        <v>8</v>
      </c>
      <c r="N478" s="1" t="str">
        <f>"containing writings in code"</f>
        <v>containing writings in code</v>
      </c>
    </row>
    <row r="479" ht="14.25" customHeight="1">
      <c r="A479" s="1" t="str">
        <f t="shared" ref="A479:A480" si="450">"Almighty Black P Stone Nation"</f>
        <v>Almighty Black P Stone Nation</v>
      </c>
      <c r="B479" s="1" t="str">
        <f t="shared" si="442"/>
        <v>0</v>
      </c>
      <c r="C479" s="1" t="str">
        <f t="shared" si="443"/>
        <v>n/a</v>
      </c>
      <c r="D479" s="1" t="str">
        <f t="shared" ref="D479:D480" si="451">"Natalie Y. Moore"</f>
        <v>Natalie Y. Moore</v>
      </c>
      <c r="E479" s="1" t="str">
        <f t="shared" si="445"/>
        <v>31</v>
      </c>
      <c r="F479" s="1" t="str">
        <f t="shared" si="446"/>
        <v>Book</v>
      </c>
      <c r="G479" s="1" t="str">
        <f t="shared" ref="G479:G480" si="452">"42361"</f>
        <v>42361</v>
      </c>
      <c r="H479" s="1" t="str">
        <f t="shared" ref="H479:H480" si="453">"2022-12-27"</f>
        <v>2022-12-27</v>
      </c>
      <c r="I479" s="1" t="str">
        <f t="shared" si="6"/>
        <v>2</v>
      </c>
      <c r="J479" s="1" t="str">
        <f t="shared" si="7"/>
        <v>Rejected All</v>
      </c>
      <c r="L479" s="1" t="str">
        <f t="shared" ref="L479:L480" si="454">"42726"</f>
        <v>42726</v>
      </c>
      <c r="M479" s="1" t="str">
        <f>"39"</f>
        <v>39</v>
      </c>
      <c r="N479" s="1" t="str">
        <f>"being detrimental to security for the following reason:"</f>
        <v>being detrimental to security for the following reason:</v>
      </c>
    </row>
    <row r="480" ht="14.25" customHeight="1">
      <c r="A480" s="1" t="str">
        <f t="shared" si="450"/>
        <v>Almighty Black P Stone Nation</v>
      </c>
      <c r="B480" s="1" t="str">
        <f t="shared" si="442"/>
        <v>0</v>
      </c>
      <c r="C480" s="1" t="str">
        <f t="shared" si="443"/>
        <v>n/a</v>
      </c>
      <c r="D480" s="1" t="str">
        <f t="shared" si="451"/>
        <v>Natalie Y. Moore</v>
      </c>
      <c r="E480" s="1" t="str">
        <f t="shared" si="445"/>
        <v>31</v>
      </c>
      <c r="F480" s="1" t="str">
        <f t="shared" si="446"/>
        <v>Book</v>
      </c>
      <c r="G480" s="1" t="str">
        <f t="shared" si="452"/>
        <v>42361</v>
      </c>
      <c r="H480" s="1" t="str">
        <f t="shared" si="453"/>
        <v>2022-12-27</v>
      </c>
      <c r="I480" s="1" t="str">
        <f t="shared" si="6"/>
        <v>2</v>
      </c>
      <c r="J480" s="1" t="str">
        <f t="shared" si="7"/>
        <v>Rejected All</v>
      </c>
      <c r="L480" s="1" t="str">
        <f t="shared" si="454"/>
        <v>42726</v>
      </c>
      <c r="M480" s="1" t="str">
        <f>"47"</f>
        <v>47</v>
      </c>
      <c r="N480" s="1" t="str">
        <f>"containing descriptions of security risk group material or activity"</f>
        <v>containing descriptions of security risk group material or activity</v>
      </c>
    </row>
    <row r="481" ht="14.25" customHeight="1">
      <c r="A481" s="1" t="str">
        <f>"The Redneck Manifesto"</f>
        <v>The Redneck Manifesto</v>
      </c>
      <c r="B481" s="1" t="str">
        <f>"699"</f>
        <v>699</v>
      </c>
      <c r="C481" s="1" t="str">
        <f>"1997"</f>
        <v>1997</v>
      </c>
      <c r="D481" s="1" t="str">
        <f>"Jim Goad"</f>
        <v>Jim Goad</v>
      </c>
      <c r="E481" s="1" t="str">
        <f t="shared" si="445"/>
        <v>31</v>
      </c>
      <c r="F481" s="1" t="str">
        <f t="shared" si="446"/>
        <v>Book</v>
      </c>
      <c r="G481" s="1" t="str">
        <f>"46809"</f>
        <v>46809</v>
      </c>
      <c r="H481" s="1" t="str">
        <f t="shared" ref="H481:H504" si="455">"2023-01-17"</f>
        <v>2023-01-17</v>
      </c>
      <c r="I481" s="1" t="str">
        <f t="shared" si="6"/>
        <v>2</v>
      </c>
      <c r="J481" s="1" t="str">
        <f t="shared" si="7"/>
        <v>Rejected All</v>
      </c>
      <c r="L481" s="1" t="str">
        <f>"47264"</f>
        <v>47264</v>
      </c>
      <c r="M481" s="1" t="str">
        <f>"49"</f>
        <v>49</v>
      </c>
      <c r="N481" s="1" t="s">
        <v>0</v>
      </c>
    </row>
    <row r="482" ht="14.25" customHeight="1">
      <c r="A482" s="1" t="str">
        <f>"The Brooklyn Boosters "</f>
        <v>The Brooklyn Boosters </v>
      </c>
      <c r="B482" s="1" t="str">
        <f>"10067"</f>
        <v>10067</v>
      </c>
      <c r="C482" s="1" t="str">
        <f>"2017"</f>
        <v>2017</v>
      </c>
      <c r="D482" s="1" t="str">
        <f>"Cleve Lewis"</f>
        <v>Cleve Lewis</v>
      </c>
      <c r="E482" s="1" t="str">
        <f t="shared" si="445"/>
        <v>31</v>
      </c>
      <c r="F482" s="1" t="str">
        <f t="shared" si="446"/>
        <v>Book</v>
      </c>
      <c r="G482" s="1" t="str">
        <f>"46808"</f>
        <v>46808</v>
      </c>
      <c r="H482" s="1" t="str">
        <f t="shared" si="455"/>
        <v>2023-01-17</v>
      </c>
      <c r="I482" s="1" t="str">
        <f t="shared" si="6"/>
        <v>2</v>
      </c>
      <c r="J482" s="1" t="str">
        <f t="shared" si="7"/>
        <v>Rejected All</v>
      </c>
      <c r="L482" s="1" t="str">
        <f>"47263"</f>
        <v>47263</v>
      </c>
      <c r="M482" s="1" t="str">
        <f>"10"</f>
        <v>10</v>
      </c>
      <c r="N482" s="1" t="str">
        <f>"encouraging or instructing on the commision of criminal activity"</f>
        <v>encouraging or instructing on the commision of criminal activity</v>
      </c>
    </row>
    <row r="483" ht="14.25" customHeight="1">
      <c r="A483" s="1" t="str">
        <f>"Duffle Bag Cartel 4"</f>
        <v>Duffle Bag Cartel 4</v>
      </c>
      <c r="B483" s="1" t="str">
        <f>"9943"</f>
        <v>9943</v>
      </c>
      <c r="C483" s="1" t="str">
        <f>"Loyal to No One"</f>
        <v>Loyal to No One</v>
      </c>
      <c r="D483" s="1" t="str">
        <f>"Ghost"</f>
        <v>Ghost</v>
      </c>
      <c r="E483" s="1" t="str">
        <f t="shared" si="445"/>
        <v>31</v>
      </c>
      <c r="F483" s="1" t="str">
        <f t="shared" si="446"/>
        <v>Book</v>
      </c>
      <c r="G483" s="1" t="str">
        <f>"46811"</f>
        <v>46811</v>
      </c>
      <c r="H483" s="1" t="str">
        <f t="shared" si="455"/>
        <v>2023-01-17</v>
      </c>
      <c r="I483" s="1" t="str">
        <f t="shared" si="6"/>
        <v>2</v>
      </c>
      <c r="J483" s="1" t="str">
        <f t="shared" si="7"/>
        <v>Rejected All</v>
      </c>
      <c r="L483" s="1" t="str">
        <f>"47266"</f>
        <v>47266</v>
      </c>
      <c r="M483" s="1" t="str">
        <f>"43"</f>
        <v>43</v>
      </c>
      <c r="N483" s="1" t="str">
        <f>"containing written sexually explicit / sado-masochistic behavior"</f>
        <v>containing written sexually explicit / sado-masochistic behavior</v>
      </c>
    </row>
    <row r="484" ht="14.25" customHeight="1">
      <c r="A484" s="1" t="str">
        <f>"Bombshells"</f>
        <v>Bombshells</v>
      </c>
      <c r="B484" s="1" t="str">
        <f>"10768"</f>
        <v>10768</v>
      </c>
      <c r="C484" s="1" t="str">
        <f>"Miiltary Women of Mass Distraction "</f>
        <v>Miiltary Women of Mass Distraction </v>
      </c>
      <c r="D484" s="1" t="str">
        <f>"The Gallery Girls Collection "</f>
        <v>The Gallery Girls Collection </v>
      </c>
      <c r="E484" s="1" t="str">
        <f t="shared" si="445"/>
        <v>31</v>
      </c>
      <c r="F484" s="1" t="str">
        <f t="shared" si="446"/>
        <v>Book</v>
      </c>
      <c r="G484" s="1" t="str">
        <f>"46799"</f>
        <v>46799</v>
      </c>
      <c r="H484" s="1" t="str">
        <f t="shared" si="455"/>
        <v>2023-01-17</v>
      </c>
      <c r="I484" s="1" t="str">
        <f t="shared" si="6"/>
        <v>2</v>
      </c>
      <c r="J484" s="1" t="str">
        <f t="shared" si="7"/>
        <v>Rejected All</v>
      </c>
      <c r="L484" s="1" t="str">
        <f>"47251"</f>
        <v>47251</v>
      </c>
      <c r="M484" s="1" t="str">
        <f t="shared" ref="M484:M488" si="456">"42"</f>
        <v>42</v>
      </c>
      <c r="N484" s="1" t="str">
        <f t="shared" ref="N484:N488" si="457">"containing pictorially explicit nudity"</f>
        <v>containing pictorially explicit nudity</v>
      </c>
    </row>
    <row r="485" ht="14.25" customHeight="1">
      <c r="A485" s="1" t="str">
        <f>"Neon Genesis Evangelion"</f>
        <v>Neon Genesis Evangelion</v>
      </c>
      <c r="B485" s="1" t="str">
        <f>"0"</f>
        <v>0</v>
      </c>
      <c r="C485" s="1" t="str">
        <f>"n/a"</f>
        <v>n/a</v>
      </c>
      <c r="D485" s="1" t="str">
        <f>"Khara Yoshiyuki Sadamoto"</f>
        <v>Khara Yoshiyuki Sadamoto</v>
      </c>
      <c r="E485" s="1" t="str">
        <f t="shared" si="445"/>
        <v>31</v>
      </c>
      <c r="F485" s="1" t="str">
        <f t="shared" si="446"/>
        <v>Book</v>
      </c>
      <c r="G485" s="1" t="str">
        <f>"39675"</f>
        <v>39675</v>
      </c>
      <c r="H485" s="1" t="str">
        <f t="shared" si="455"/>
        <v>2023-01-17</v>
      </c>
      <c r="I485" s="1" t="str">
        <f t="shared" si="6"/>
        <v>2</v>
      </c>
      <c r="J485" s="1" t="str">
        <f t="shared" si="7"/>
        <v>Rejected All</v>
      </c>
      <c r="L485" s="1" t="str">
        <f>"47255"</f>
        <v>47255</v>
      </c>
      <c r="M485" s="1" t="str">
        <f t="shared" si="456"/>
        <v>42</v>
      </c>
      <c r="N485" s="1" t="str">
        <f t="shared" si="457"/>
        <v>containing pictorially explicit nudity</v>
      </c>
    </row>
    <row r="486" ht="14.25" customHeight="1">
      <c r="A486" s="1" t="str">
        <f>"Goblin Slayer"</f>
        <v>Goblin Slayer</v>
      </c>
      <c r="B486" s="1" t="str">
        <f>"7032"</f>
        <v>7032</v>
      </c>
      <c r="C486" s="1" t="str">
        <f>"Part 1"</f>
        <v>Part 1</v>
      </c>
      <c r="D486" s="1" t="str">
        <f>"Kumo Kagyu"</f>
        <v>Kumo Kagyu</v>
      </c>
      <c r="E486" s="1" t="str">
        <f t="shared" si="445"/>
        <v>31</v>
      </c>
      <c r="F486" s="1" t="str">
        <f t="shared" si="446"/>
        <v>Book</v>
      </c>
      <c r="G486" s="1" t="str">
        <f>"46800"</f>
        <v>46800</v>
      </c>
      <c r="H486" s="1" t="str">
        <f t="shared" si="455"/>
        <v>2023-01-17</v>
      </c>
      <c r="I486" s="1" t="str">
        <f t="shared" si="6"/>
        <v>2</v>
      </c>
      <c r="J486" s="1" t="str">
        <f t="shared" si="7"/>
        <v>Rejected All</v>
      </c>
      <c r="L486" s="1" t="str">
        <f>"47254"</f>
        <v>47254</v>
      </c>
      <c r="M486" s="1" t="str">
        <f t="shared" si="456"/>
        <v>42</v>
      </c>
      <c r="N486" s="1" t="str">
        <f t="shared" si="457"/>
        <v>containing pictorially explicit nudity</v>
      </c>
    </row>
    <row r="487" ht="14.25" customHeight="1">
      <c r="A487" s="1" t="str">
        <f>"Guilty Pleasures "</f>
        <v>Guilty Pleasures </v>
      </c>
      <c r="B487" s="1" t="str">
        <f>"10766"</f>
        <v>10766</v>
      </c>
      <c r="C487" s="1" t="str">
        <f>"Pin-Ups"</f>
        <v>Pin-Ups</v>
      </c>
      <c r="D487" s="1" t="str">
        <f>"Keith Garvey"</f>
        <v>Keith Garvey</v>
      </c>
      <c r="E487" s="1" t="str">
        <f t="shared" si="445"/>
        <v>31</v>
      </c>
      <c r="F487" s="1" t="str">
        <f t="shared" si="446"/>
        <v>Book</v>
      </c>
      <c r="G487" s="1" t="str">
        <f>"46796"</f>
        <v>46796</v>
      </c>
      <c r="H487" s="1" t="str">
        <f t="shared" si="455"/>
        <v>2023-01-17</v>
      </c>
      <c r="I487" s="1" t="str">
        <f t="shared" si="6"/>
        <v>2</v>
      </c>
      <c r="J487" s="1" t="str">
        <f t="shared" si="7"/>
        <v>Rejected All</v>
      </c>
      <c r="L487" s="1" t="str">
        <f>"47248"</f>
        <v>47248</v>
      </c>
      <c r="M487" s="1" t="str">
        <f t="shared" si="456"/>
        <v>42</v>
      </c>
      <c r="N487" s="1" t="str">
        <f t="shared" si="457"/>
        <v>containing pictorially explicit nudity</v>
      </c>
    </row>
    <row r="488" ht="14.25" customHeight="1">
      <c r="A488" s="1" t="str">
        <f>"Sweet Things "</f>
        <v>Sweet Things </v>
      </c>
      <c r="B488" s="1" t="str">
        <f t="shared" ref="B488:B492" si="458">"10678"</f>
        <v>10678</v>
      </c>
      <c r="C488" s="1" t="str">
        <f t="shared" ref="C488:C492" si="459">"Publcation "</f>
        <v>Publcation </v>
      </c>
      <c r="D488" s="1" t="str">
        <f>"Keith Garvey "</f>
        <v>Keith Garvey </v>
      </c>
      <c r="E488" s="1" t="str">
        <f t="shared" si="445"/>
        <v>31</v>
      </c>
      <c r="F488" s="1" t="str">
        <f t="shared" si="446"/>
        <v>Book</v>
      </c>
      <c r="G488" s="1" t="str">
        <f>"46798"</f>
        <v>46798</v>
      </c>
      <c r="H488" s="1" t="str">
        <f t="shared" si="455"/>
        <v>2023-01-17</v>
      </c>
      <c r="I488" s="1" t="str">
        <f t="shared" si="6"/>
        <v>2</v>
      </c>
      <c r="J488" s="1" t="str">
        <f t="shared" si="7"/>
        <v>Rejected All</v>
      </c>
      <c r="L488" s="1" t="str">
        <f>"47250"</f>
        <v>47250</v>
      </c>
      <c r="M488" s="1" t="str">
        <f t="shared" si="456"/>
        <v>42</v>
      </c>
      <c r="N488" s="1" t="str">
        <f t="shared" si="457"/>
        <v>containing pictorially explicit nudity</v>
      </c>
    </row>
    <row r="489" ht="14.25" customHeight="1">
      <c r="A489" s="1" t="str">
        <f>"Book three of the breathless trilogy"</f>
        <v>Book three of the breathless trilogy</v>
      </c>
      <c r="B489" s="1" t="str">
        <f t="shared" si="458"/>
        <v>10678</v>
      </c>
      <c r="C489" s="1" t="str">
        <f t="shared" si="459"/>
        <v>Publcation </v>
      </c>
      <c r="D489" s="1" t="str">
        <f>"Maya Banks"</f>
        <v>Maya Banks</v>
      </c>
      <c r="E489" s="1" t="str">
        <f t="shared" si="445"/>
        <v>31</v>
      </c>
      <c r="F489" s="1" t="str">
        <f t="shared" si="446"/>
        <v>Book</v>
      </c>
      <c r="G489" s="1" t="str">
        <f>"46815"</f>
        <v>46815</v>
      </c>
      <c r="H489" s="1" t="str">
        <f t="shared" si="455"/>
        <v>2023-01-17</v>
      </c>
      <c r="I489" s="1" t="str">
        <f t="shared" si="6"/>
        <v>2</v>
      </c>
      <c r="J489" s="1" t="str">
        <f t="shared" si="7"/>
        <v>Rejected All</v>
      </c>
      <c r="L489" s="1" t="str">
        <f>"47270"</f>
        <v>47270</v>
      </c>
      <c r="M489" s="1" t="str">
        <f>"43"</f>
        <v>43</v>
      </c>
      <c r="N489" s="1" t="str">
        <f>"containing written sexually explicit / sado-masochistic behavior"</f>
        <v>containing written sexually explicit / sado-masochistic behavior</v>
      </c>
    </row>
    <row r="490" ht="14.25" customHeight="1">
      <c r="A490" s="1" t="str">
        <f>"Naive to the Streets "</f>
        <v>Naive to the Streets </v>
      </c>
      <c r="B490" s="1" t="str">
        <f t="shared" si="458"/>
        <v>10678</v>
      </c>
      <c r="C490" s="1" t="str">
        <f t="shared" si="459"/>
        <v>Publcation </v>
      </c>
      <c r="D490" s="1" t="str">
        <f>"A Roy Milliagan "</f>
        <v>A Roy Milliagan </v>
      </c>
      <c r="E490" s="1" t="str">
        <f t="shared" si="445"/>
        <v>31</v>
      </c>
      <c r="F490" s="1" t="str">
        <f t="shared" si="446"/>
        <v>Book</v>
      </c>
      <c r="G490" s="1" t="str">
        <f>"46816"</f>
        <v>46816</v>
      </c>
      <c r="H490" s="1" t="str">
        <f t="shared" si="455"/>
        <v>2023-01-17</v>
      </c>
      <c r="I490" s="1" t="str">
        <f t="shared" si="6"/>
        <v>2</v>
      </c>
      <c r="J490" s="1" t="str">
        <f t="shared" si="7"/>
        <v>Rejected All</v>
      </c>
      <c r="L490" s="1" t="str">
        <f>"47271"</f>
        <v>47271</v>
      </c>
      <c r="M490" s="1" t="str">
        <f>"45"</f>
        <v>45</v>
      </c>
      <c r="N490" s="1" t="str">
        <f>"containing written sexually explicit material involving minors"</f>
        <v>containing written sexually explicit material involving minors</v>
      </c>
    </row>
    <row r="491" ht="14.25" customHeight="1">
      <c r="A491" s="1" t="str">
        <f>"Teach Me Too"</f>
        <v>Teach Me Too</v>
      </c>
      <c r="B491" s="1" t="str">
        <f t="shared" si="458"/>
        <v>10678</v>
      </c>
      <c r="C491" s="1" t="str">
        <f t="shared" si="459"/>
        <v>Publcation </v>
      </c>
      <c r="D491" s="1" t="str">
        <f>"Enrique Villagram"</f>
        <v>Enrique Villagram</v>
      </c>
      <c r="E491" s="1" t="str">
        <f t="shared" si="445"/>
        <v>31</v>
      </c>
      <c r="F491" s="1" t="str">
        <f t="shared" si="446"/>
        <v>Book</v>
      </c>
      <c r="G491" s="1" t="str">
        <f>"46817"</f>
        <v>46817</v>
      </c>
      <c r="H491" s="1" t="str">
        <f t="shared" si="455"/>
        <v>2023-01-17</v>
      </c>
      <c r="I491" s="1" t="str">
        <f t="shared" si="6"/>
        <v>2</v>
      </c>
      <c r="J491" s="1" t="str">
        <f t="shared" si="7"/>
        <v>Rejected All</v>
      </c>
      <c r="L491" s="1" t="str">
        <f>"47272"</f>
        <v>47272</v>
      </c>
      <c r="M491" s="1" t="str">
        <f>"41"</f>
        <v>41</v>
      </c>
      <c r="N491" s="1" t="str">
        <f>"containing pictorially explicit sexual activity"</f>
        <v>containing pictorially explicit sexual activity</v>
      </c>
    </row>
    <row r="492" ht="14.25" customHeight="1">
      <c r="A492" s="1" t="str">
        <f>"Burn"</f>
        <v>Burn</v>
      </c>
      <c r="B492" s="1" t="str">
        <f t="shared" si="458"/>
        <v>10678</v>
      </c>
      <c r="C492" s="1" t="str">
        <f t="shared" si="459"/>
        <v>Publcation </v>
      </c>
      <c r="D492" s="1" t="str">
        <f>"Roy Milligan"</f>
        <v>Roy Milligan</v>
      </c>
      <c r="E492" s="1" t="str">
        <f t="shared" si="445"/>
        <v>31</v>
      </c>
      <c r="F492" s="1" t="str">
        <f t="shared" si="446"/>
        <v>Book</v>
      </c>
      <c r="G492" s="1" t="str">
        <f>"46818"</f>
        <v>46818</v>
      </c>
      <c r="H492" s="1" t="str">
        <f t="shared" si="455"/>
        <v>2023-01-17</v>
      </c>
      <c r="I492" s="1" t="str">
        <f t="shared" si="6"/>
        <v>2</v>
      </c>
      <c r="J492" s="1" t="str">
        <f t="shared" si="7"/>
        <v>Rejected All</v>
      </c>
      <c r="L492" s="1" t="str">
        <f>"47273"</f>
        <v>47273</v>
      </c>
      <c r="M492" s="1" t="str">
        <f>"43"</f>
        <v>43</v>
      </c>
      <c r="N492" s="1" t="str">
        <f>"containing written sexually explicit / sado-masochistic behavior"</f>
        <v>containing written sexually explicit / sado-masochistic behavior</v>
      </c>
    </row>
    <row r="493" ht="14.25" customHeight="1">
      <c r="A493" s="1" t="str">
        <f>"A Naughty new lesson plan from those 3 horny instructors"</f>
        <v>A Naughty new lesson plan from those 3 horny instructors</v>
      </c>
      <c r="B493" s="1" t="str">
        <f t="shared" ref="B493:B496" si="460">"10642"</f>
        <v>10642</v>
      </c>
      <c r="C493" s="1" t="str">
        <f t="shared" ref="C493:C496" si="461">"Publication "</f>
        <v>Publication </v>
      </c>
      <c r="D493" s="1" t="str">
        <f>"Enrique Villagram"</f>
        <v>Enrique Villagram</v>
      </c>
      <c r="E493" s="1" t="str">
        <f t="shared" si="445"/>
        <v>31</v>
      </c>
      <c r="F493" s="1" t="str">
        <f t="shared" si="446"/>
        <v>Book</v>
      </c>
      <c r="G493" s="1" t="str">
        <f>"46814"</f>
        <v>46814</v>
      </c>
      <c r="H493" s="1" t="str">
        <f t="shared" si="455"/>
        <v>2023-01-17</v>
      </c>
      <c r="I493" s="1" t="str">
        <f t="shared" si="6"/>
        <v>2</v>
      </c>
      <c r="J493" s="1" t="str">
        <f t="shared" si="7"/>
        <v>Rejected All</v>
      </c>
      <c r="L493" s="1" t="str">
        <f>"47269"</f>
        <v>47269</v>
      </c>
      <c r="M493" s="1" t="str">
        <f>"41"</f>
        <v>41</v>
      </c>
      <c r="N493" s="1" t="str">
        <f>"containing pictorially explicit sexual activity"</f>
        <v>containing pictorially explicit sexual activity</v>
      </c>
    </row>
    <row r="494" ht="14.25" customHeight="1">
      <c r="A494" s="1" t="str">
        <f>"Addicted"</f>
        <v>Addicted</v>
      </c>
      <c r="B494" s="1" t="str">
        <f t="shared" si="460"/>
        <v>10642</v>
      </c>
      <c r="C494" s="1" t="str">
        <f t="shared" si="461"/>
        <v>Publication </v>
      </c>
      <c r="D494" s="1" t="str">
        <f>"Zane"</f>
        <v>Zane</v>
      </c>
      <c r="E494" s="1" t="str">
        <f t="shared" si="445"/>
        <v>31</v>
      </c>
      <c r="F494" s="1" t="str">
        <f t="shared" si="446"/>
        <v>Book</v>
      </c>
      <c r="G494" s="1" t="str">
        <f>"46819"</f>
        <v>46819</v>
      </c>
      <c r="H494" s="1" t="str">
        <f t="shared" si="455"/>
        <v>2023-01-17</v>
      </c>
      <c r="I494" s="1" t="str">
        <f t="shared" si="6"/>
        <v>2</v>
      </c>
      <c r="J494" s="1" t="str">
        <f t="shared" si="7"/>
        <v>Rejected All</v>
      </c>
      <c r="L494" s="1" t="str">
        <f>"47274"</f>
        <v>47274</v>
      </c>
      <c r="M494" s="1" t="str">
        <f>"43"</f>
        <v>43</v>
      </c>
      <c r="N494" s="1" t="str">
        <f>"containing written sexually explicit / sado-masochistic behavior"</f>
        <v>containing written sexually explicit / sado-masochistic behavior</v>
      </c>
    </row>
    <row r="495" ht="14.25" customHeight="1">
      <c r="A495" s="1" t="str">
        <f>"Devil&amp;#39;s Playground "</f>
        <v>Devil&amp;#39;s Playground </v>
      </c>
      <c r="B495" s="1" t="str">
        <f t="shared" si="460"/>
        <v>10642</v>
      </c>
      <c r="C495" s="1" t="str">
        <f t="shared" si="461"/>
        <v>Publication </v>
      </c>
      <c r="D495" s="1" t="str">
        <f>"Vijat Mohindra"</f>
        <v>Vijat Mohindra</v>
      </c>
      <c r="E495" s="1" t="str">
        <f t="shared" si="445"/>
        <v>31</v>
      </c>
      <c r="F495" s="1" t="str">
        <f t="shared" si="446"/>
        <v>Book</v>
      </c>
      <c r="G495" s="1" t="str">
        <f>"46820"</f>
        <v>46820</v>
      </c>
      <c r="H495" s="1" t="str">
        <f t="shared" si="455"/>
        <v>2023-01-17</v>
      </c>
      <c r="I495" s="1" t="str">
        <f t="shared" si="6"/>
        <v>2</v>
      </c>
      <c r="J495" s="1" t="str">
        <f t="shared" si="7"/>
        <v>Rejected All</v>
      </c>
      <c r="L495" s="1" t="str">
        <f>"47275"</f>
        <v>47275</v>
      </c>
      <c r="M495" s="1" t="str">
        <f>"42"</f>
        <v>42</v>
      </c>
      <c r="N495" s="1" t="str">
        <f>"containing pictorially explicit nudity"</f>
        <v>containing pictorially explicit nudity</v>
      </c>
    </row>
    <row r="496" ht="14.25" customHeight="1">
      <c r="A496" s="1" t="str">
        <f>"AKIDO"</f>
        <v>AKIDO</v>
      </c>
      <c r="B496" s="1" t="str">
        <f t="shared" si="460"/>
        <v>10642</v>
      </c>
      <c r="C496" s="1" t="str">
        <f t="shared" si="461"/>
        <v>Publication </v>
      </c>
      <c r="D496" s="1" t="str">
        <f>"Hong Thong Dang"</f>
        <v>Hong Thong Dang</v>
      </c>
      <c r="E496" s="1" t="str">
        <f t="shared" si="445"/>
        <v>31</v>
      </c>
      <c r="F496" s="1" t="str">
        <f t="shared" si="446"/>
        <v>Book</v>
      </c>
      <c r="G496" s="1" t="str">
        <f>"46821"</f>
        <v>46821</v>
      </c>
      <c r="H496" s="1" t="str">
        <f t="shared" si="455"/>
        <v>2023-01-17</v>
      </c>
      <c r="I496" s="1" t="str">
        <f t="shared" si="6"/>
        <v>2</v>
      </c>
      <c r="J496" s="1" t="str">
        <f t="shared" si="7"/>
        <v>Rejected All</v>
      </c>
      <c r="L496" s="1" t="str">
        <f>"47276"</f>
        <v>47276</v>
      </c>
      <c r="M496" s="1" t="str">
        <f t="shared" ref="M496:M497" si="462">"40"</f>
        <v>40</v>
      </c>
      <c r="N496" s="1" t="str">
        <f t="shared" ref="N496:N497" si="463">"describing fighting techniques"</f>
        <v>describing fighting techniques</v>
      </c>
    </row>
    <row r="497" ht="14.25" customHeight="1">
      <c r="A497" s="1" t="str">
        <f>"Bruce Lee&amp;#39;s Jeet Kume Do"</f>
        <v>Bruce Lee&amp;#39;s Jeet Kume Do</v>
      </c>
      <c r="B497" s="1" t="str">
        <f>"10770"</f>
        <v>10770</v>
      </c>
      <c r="C497" s="1" t="str">
        <f>"Publication - 2015"</f>
        <v>Publication - 2015</v>
      </c>
      <c r="D497" s="1" t="str">
        <f>"Sam Fury"</f>
        <v>Sam Fury</v>
      </c>
      <c r="E497" s="1" t="str">
        <f t="shared" si="445"/>
        <v>31</v>
      </c>
      <c r="F497" s="1" t="str">
        <f t="shared" si="446"/>
        <v>Book</v>
      </c>
      <c r="G497" s="1" t="str">
        <f>"46807"</f>
        <v>46807</v>
      </c>
      <c r="H497" s="1" t="str">
        <f t="shared" si="455"/>
        <v>2023-01-17</v>
      </c>
      <c r="I497" s="1" t="str">
        <f t="shared" si="6"/>
        <v>2</v>
      </c>
      <c r="J497" s="1" t="str">
        <f t="shared" si="7"/>
        <v>Rejected All</v>
      </c>
      <c r="L497" s="1" t="str">
        <f>"47262"</f>
        <v>47262</v>
      </c>
      <c r="M497" s="1" t="str">
        <f t="shared" si="462"/>
        <v>40</v>
      </c>
      <c r="N497" s="1" t="str">
        <f t="shared" si="463"/>
        <v>describing fighting techniques</v>
      </c>
    </row>
    <row r="498" ht="14.25" customHeight="1">
      <c r="A498" s="1" t="str">
        <f>"Tatz"</f>
        <v>Tatz</v>
      </c>
      <c r="B498" s="1" t="str">
        <f>"10767"</f>
        <v>10767</v>
      </c>
      <c r="C498" s="1" t="str">
        <f>"Sin on Skin"</f>
        <v>Sin on Skin</v>
      </c>
      <c r="D498" s="1" t="str">
        <f>"Stefano Mazzotti"</f>
        <v>Stefano Mazzotti</v>
      </c>
      <c r="E498" s="1" t="str">
        <f t="shared" si="445"/>
        <v>31</v>
      </c>
      <c r="F498" s="1" t="str">
        <f t="shared" si="446"/>
        <v>Book</v>
      </c>
      <c r="G498" s="1" t="str">
        <f>"46797"</f>
        <v>46797</v>
      </c>
      <c r="H498" s="1" t="str">
        <f t="shared" si="455"/>
        <v>2023-01-17</v>
      </c>
      <c r="I498" s="1" t="str">
        <f t="shared" si="6"/>
        <v>2</v>
      </c>
      <c r="J498" s="1" t="str">
        <f t="shared" si="7"/>
        <v>Rejected All</v>
      </c>
      <c r="L498" s="1" t="str">
        <f>"47249"</f>
        <v>47249</v>
      </c>
      <c r="M498" s="1" t="str">
        <f>"42"</f>
        <v>42</v>
      </c>
      <c r="N498" s="1" t="str">
        <f>"containing pictorially explicit nudity"</f>
        <v>containing pictorially explicit nudity</v>
      </c>
    </row>
    <row r="499" ht="14.25" customHeight="1">
      <c r="A499" s="1" t="str">
        <f>"Vamps"</f>
        <v>Vamps</v>
      </c>
      <c r="B499" s="1" t="str">
        <f>"10765"</f>
        <v>10765</v>
      </c>
      <c r="C499" s="1" t="str">
        <f>"The Complete Collection "</f>
        <v>The Complete Collection </v>
      </c>
      <c r="D499" s="1" t="str">
        <f>"Elaine Lee"</f>
        <v>Elaine Lee</v>
      </c>
      <c r="E499" s="1" t="str">
        <f t="shared" si="445"/>
        <v>31</v>
      </c>
      <c r="F499" s="1" t="str">
        <f t="shared" si="446"/>
        <v>Book</v>
      </c>
      <c r="G499" s="1" t="str">
        <f>"46795"</f>
        <v>46795</v>
      </c>
      <c r="H499" s="1" t="str">
        <f t="shared" si="455"/>
        <v>2023-01-17</v>
      </c>
      <c r="I499" s="1" t="str">
        <f t="shared" si="6"/>
        <v>2</v>
      </c>
      <c r="J499" s="1" t="str">
        <f t="shared" si="7"/>
        <v>Rejected All</v>
      </c>
      <c r="L499" s="1" t="str">
        <f>"47247"</f>
        <v>47247</v>
      </c>
      <c r="M499" s="1" t="str">
        <f>"41"</f>
        <v>41</v>
      </c>
      <c r="N499" s="1" t="str">
        <f>"containing pictorially explicit sexual activity"</f>
        <v>containing pictorially explicit sexual activity</v>
      </c>
    </row>
    <row r="500" ht="14.25" customHeight="1">
      <c r="A500" s="1" t="str">
        <f>"Does a hot Elf live next door to you"</f>
        <v>Does a hot Elf live next door to you</v>
      </c>
      <c r="B500" s="1" t="str">
        <f>"3867"</f>
        <v>3867</v>
      </c>
      <c r="C500" s="1" t="str">
        <f>"Vol 2"</f>
        <v>Vol 2</v>
      </c>
      <c r="D500" s="1" t="str">
        <f>"Meguru Ueno "</f>
        <v>Meguru Ueno </v>
      </c>
      <c r="E500" s="1" t="str">
        <f t="shared" si="445"/>
        <v>31</v>
      </c>
      <c r="F500" s="1" t="str">
        <f t="shared" si="446"/>
        <v>Book</v>
      </c>
      <c r="G500" s="1" t="str">
        <f>"46810"</f>
        <v>46810</v>
      </c>
      <c r="H500" s="1" t="str">
        <f t="shared" si="455"/>
        <v>2023-01-17</v>
      </c>
      <c r="I500" s="1" t="str">
        <f t="shared" si="6"/>
        <v>2</v>
      </c>
      <c r="J500" s="1" t="str">
        <f t="shared" si="7"/>
        <v>Rejected All</v>
      </c>
      <c r="L500" s="1" t="str">
        <f>"47265"</f>
        <v>47265</v>
      </c>
      <c r="M500" s="1" t="str">
        <f>"45"</f>
        <v>45</v>
      </c>
      <c r="N500" s="1" t="str">
        <f>"containing written sexually explicit material involving minors"</f>
        <v>containing written sexually explicit material involving minors</v>
      </c>
    </row>
    <row r="501" ht="14.25" customHeight="1">
      <c r="A501" s="1" t="str">
        <f>"Love Stage"</f>
        <v>Love Stage</v>
      </c>
      <c r="B501" s="1" t="str">
        <f>"4500"</f>
        <v>4500</v>
      </c>
      <c r="C501" s="1" t="str">
        <f>"Volume 1"</f>
        <v>Volume 1</v>
      </c>
      <c r="D501" s="1" t="str">
        <f>"Eiki Eiki "</f>
        <v>Eiki Eiki </v>
      </c>
      <c r="E501" s="1" t="str">
        <f t="shared" si="445"/>
        <v>31</v>
      </c>
      <c r="F501" s="1" t="str">
        <f t="shared" si="446"/>
        <v>Book</v>
      </c>
      <c r="G501" s="1" t="str">
        <f>"46801"</f>
        <v>46801</v>
      </c>
      <c r="H501" s="1" t="str">
        <f t="shared" si="455"/>
        <v>2023-01-17</v>
      </c>
      <c r="I501" s="1" t="str">
        <f t="shared" si="6"/>
        <v>2</v>
      </c>
      <c r="J501" s="1" t="str">
        <f t="shared" si="7"/>
        <v>Rejected All</v>
      </c>
      <c r="L501" s="1" t="str">
        <f>"47256"</f>
        <v>47256</v>
      </c>
      <c r="M501" s="1" t="str">
        <f>"41"</f>
        <v>41</v>
      </c>
      <c r="N501" s="1" t="str">
        <f>"containing pictorially explicit sexual activity"</f>
        <v>containing pictorially explicit sexual activity</v>
      </c>
    </row>
    <row r="502" ht="14.25" customHeight="1">
      <c r="A502" s="1" t="str">
        <f>"Letters to Penthouse"</f>
        <v>Letters to Penthouse</v>
      </c>
      <c r="B502" s="1" t="str">
        <f>"4598"</f>
        <v>4598</v>
      </c>
      <c r="C502" s="1" t="str">
        <f>"XXXXII"</f>
        <v>XXXXII</v>
      </c>
      <c r="D502" s="1" t="str">
        <f>"Editors of Penthouse"</f>
        <v>Editors of Penthouse</v>
      </c>
      <c r="E502" s="1" t="str">
        <f t="shared" si="445"/>
        <v>31</v>
      </c>
      <c r="F502" s="1" t="str">
        <f t="shared" si="446"/>
        <v>Book</v>
      </c>
      <c r="G502" s="1" t="str">
        <f>"7581"</f>
        <v>7581</v>
      </c>
      <c r="H502" s="1" t="str">
        <f t="shared" si="455"/>
        <v>2023-01-17</v>
      </c>
      <c r="I502" s="1" t="str">
        <f t="shared" si="6"/>
        <v>2</v>
      </c>
      <c r="J502" s="1" t="str">
        <f t="shared" si="7"/>
        <v>Rejected All</v>
      </c>
      <c r="L502" s="1" t="str">
        <f>"47253"</f>
        <v>47253</v>
      </c>
      <c r="M502" s="1" t="str">
        <f t="shared" ref="M502:M503" si="464">"43"</f>
        <v>43</v>
      </c>
      <c r="N502" s="1" t="str">
        <f t="shared" ref="N502:N503" si="465">"containing written sexually explicit / sado-masochistic behavior"</f>
        <v>containing written sexually explicit / sado-masochistic behavior</v>
      </c>
    </row>
    <row r="503" ht="14.25" customHeight="1">
      <c r="A503" s="1" t="str">
        <f>"Letters to Penthouse XIX"</f>
        <v>Letters to Penthouse XIX</v>
      </c>
      <c r="B503" s="1" t="str">
        <f>"0"</f>
        <v>0</v>
      </c>
      <c r="C503" s="1" t="str">
        <f>"n/a"</f>
        <v>n/a</v>
      </c>
      <c r="E503" s="1" t="str">
        <f t="shared" ref="E503:E504" si="466">"32"</f>
        <v>32</v>
      </c>
      <c r="F503" s="1" t="str">
        <f t="shared" ref="F503:F504" si="467">"Magazine/Newspaper"</f>
        <v>Magazine/Newspaper</v>
      </c>
      <c r="G503" s="1" t="str">
        <f>"13928"</f>
        <v>13928</v>
      </c>
      <c r="H503" s="1" t="str">
        <f t="shared" si="455"/>
        <v>2023-01-17</v>
      </c>
      <c r="I503" s="1" t="str">
        <f t="shared" si="6"/>
        <v>2</v>
      </c>
      <c r="J503" s="1" t="str">
        <f t="shared" si="7"/>
        <v>Rejected All</v>
      </c>
      <c r="L503" s="1" t="str">
        <f>"47252"</f>
        <v>47252</v>
      </c>
      <c r="M503" s="1" t="str">
        <f t="shared" si="464"/>
        <v>43</v>
      </c>
      <c r="N503" s="1" t="str">
        <f t="shared" si="465"/>
        <v>containing written sexually explicit / sado-masochistic behavior</v>
      </c>
    </row>
    <row r="504" ht="14.25" customHeight="1">
      <c r="A504" s="1" t="str">
        <f>"AS is Magazine Crime"</f>
        <v>AS is Magazine Crime</v>
      </c>
      <c r="B504" s="1" t="str">
        <f>"4353"</f>
        <v>4353</v>
      </c>
      <c r="C504" s="1" t="str">
        <f>"Vol. 6"</f>
        <v>Vol. 6</v>
      </c>
      <c r="D504" s="1" t="str">
        <f>"Magazine"</f>
        <v>Magazine</v>
      </c>
      <c r="E504" s="1" t="str">
        <f t="shared" si="466"/>
        <v>32</v>
      </c>
      <c r="F504" s="1" t="str">
        <f t="shared" si="467"/>
        <v>Magazine/Newspaper</v>
      </c>
      <c r="G504" s="1" t="str">
        <f>"46822"</f>
        <v>46822</v>
      </c>
      <c r="H504" s="1" t="str">
        <f t="shared" si="455"/>
        <v>2023-01-17</v>
      </c>
      <c r="I504" s="1" t="str">
        <f t="shared" si="6"/>
        <v>2</v>
      </c>
      <c r="J504" s="1" t="str">
        <f t="shared" si="7"/>
        <v>Rejected All</v>
      </c>
      <c r="L504" s="1" t="str">
        <f>"47277"</f>
        <v>47277</v>
      </c>
      <c r="M504" s="1" t="str">
        <f>"47"</f>
        <v>47</v>
      </c>
      <c r="N504" s="1" t="str">
        <f>"containing descriptions of security risk group material or activity"</f>
        <v>containing descriptions of security risk group material or activity</v>
      </c>
    </row>
    <row r="505" ht="14.25" customHeight="1">
      <c r="A505" s="1" t="str">
        <f>"Coke Kings 4"</f>
        <v>Coke Kings 4</v>
      </c>
      <c r="B505" s="1" t="str">
        <f>"10789"</f>
        <v>10789</v>
      </c>
      <c r="C505" s="1" t="str">
        <f>"#4 Dope Game Royalty "</f>
        <v>#4 Dope Game Royalty </v>
      </c>
      <c r="D505" s="1" t="str">
        <f t="shared" ref="D505:D506" si="468">"T.J. Edwards "</f>
        <v>T.J. Edwards </v>
      </c>
      <c r="E505" s="1" t="str">
        <f t="shared" ref="E505:E520" si="469">"31"</f>
        <v>31</v>
      </c>
      <c r="F505" s="1" t="str">
        <f t="shared" ref="F505:F520" si="470">"Book"</f>
        <v>Book</v>
      </c>
      <c r="G505" s="1" t="str">
        <f>"46866"</f>
        <v>46866</v>
      </c>
      <c r="H505" s="1" t="str">
        <f t="shared" ref="H505:H511" si="471">"2023-02-07"</f>
        <v>2023-02-07</v>
      </c>
      <c r="I505" s="1" t="str">
        <f t="shared" si="6"/>
        <v>2</v>
      </c>
      <c r="J505" s="1" t="str">
        <f t="shared" si="7"/>
        <v>Rejected All</v>
      </c>
      <c r="L505" s="1" t="str">
        <f>"47320"</f>
        <v>47320</v>
      </c>
      <c r="M505" s="1" t="str">
        <f t="shared" ref="M505:M506" si="472">"46"</f>
        <v>46</v>
      </c>
      <c r="N505" s="1" t="str">
        <f t="shared" ref="N505:N506" si="473">"containing written sexually explicit material involving the use of force or non-consent"</f>
        <v>containing written sexually explicit material involving the use of force or non-consent</v>
      </c>
    </row>
    <row r="506" ht="14.25" customHeight="1">
      <c r="A506" s="1" t="str">
        <f>"Coke Kings"</f>
        <v>Coke Kings</v>
      </c>
      <c r="B506" s="1" t="str">
        <f>"10786"</f>
        <v>10786</v>
      </c>
      <c r="C506" s="1" t="str">
        <f>"#5 Hard To Kill "</f>
        <v>#5 Hard To Kill </v>
      </c>
      <c r="D506" s="1" t="str">
        <f t="shared" si="468"/>
        <v>T.J. Edwards </v>
      </c>
      <c r="E506" s="1" t="str">
        <f t="shared" si="469"/>
        <v>31</v>
      </c>
      <c r="F506" s="1" t="str">
        <f t="shared" si="470"/>
        <v>Book</v>
      </c>
      <c r="G506" s="1" t="str">
        <f>"46855"</f>
        <v>46855</v>
      </c>
      <c r="H506" s="1" t="str">
        <f t="shared" si="471"/>
        <v>2023-02-07</v>
      </c>
      <c r="I506" s="1" t="str">
        <f t="shared" si="6"/>
        <v>2</v>
      </c>
      <c r="J506" s="1" t="str">
        <f t="shared" si="7"/>
        <v>Rejected All</v>
      </c>
      <c r="L506" s="1" t="str">
        <f>"47310"</f>
        <v>47310</v>
      </c>
      <c r="M506" s="1" t="str">
        <f t="shared" si="472"/>
        <v>46</v>
      </c>
      <c r="N506" s="1" t="str">
        <f t="shared" si="473"/>
        <v>containing written sexually explicit material involving the use of force or non-consent</v>
      </c>
    </row>
    <row r="507" ht="14.25" customHeight="1">
      <c r="A507" s="1" t="str">
        <f>"Redemption Manual "</f>
        <v>Redemption Manual </v>
      </c>
      <c r="B507" s="1" t="str">
        <f>"10784"</f>
        <v>10784</v>
      </c>
      <c r="C507" s="1" t="str">
        <f>"5.0 Series"</f>
        <v>5.0 Series</v>
      </c>
      <c r="D507" s="1" t="str">
        <f>"McCutcheons Ink"</f>
        <v>McCutcheons Ink</v>
      </c>
      <c r="E507" s="1" t="str">
        <f t="shared" si="469"/>
        <v>31</v>
      </c>
      <c r="F507" s="1" t="str">
        <f t="shared" si="470"/>
        <v>Book</v>
      </c>
      <c r="G507" s="1" t="str">
        <f>"46849"</f>
        <v>46849</v>
      </c>
      <c r="H507" s="1" t="str">
        <f t="shared" si="471"/>
        <v>2023-02-07</v>
      </c>
      <c r="I507" s="1" t="str">
        <f t="shared" si="6"/>
        <v>2</v>
      </c>
      <c r="J507" s="1" t="str">
        <f t="shared" si="7"/>
        <v>Rejected All</v>
      </c>
      <c r="L507" s="1" t="str">
        <f>"47304"</f>
        <v>47304</v>
      </c>
      <c r="M507" s="1" t="str">
        <f>"50"</f>
        <v>50</v>
      </c>
      <c r="N507" s="1" t="str">
        <f>"containing material influenced by &amp;quot;sovereign citizen&amp;quot; ideology"</f>
        <v>containing material influenced by &amp;quot;sovereign citizen&amp;quot; ideology</v>
      </c>
    </row>
    <row r="508" ht="14.25" customHeight="1">
      <c r="A508" s="1" t="str">
        <f>"Oral Sex for Everybody"</f>
        <v>Oral Sex for Everybody</v>
      </c>
      <c r="B508" s="1" t="str">
        <f>"10642"</f>
        <v>10642</v>
      </c>
      <c r="C508" s="1" t="str">
        <f>"Publication "</f>
        <v>Publication </v>
      </c>
      <c r="D508" s="1" t="str">
        <f>"Tina Robbins "</f>
        <v>Tina Robbins </v>
      </c>
      <c r="E508" s="1" t="str">
        <f t="shared" si="469"/>
        <v>31</v>
      </c>
      <c r="F508" s="1" t="str">
        <f t="shared" si="470"/>
        <v>Book</v>
      </c>
      <c r="G508" s="1" t="str">
        <f>"46865"</f>
        <v>46865</v>
      </c>
      <c r="H508" s="1" t="str">
        <f t="shared" si="471"/>
        <v>2023-02-07</v>
      </c>
      <c r="I508" s="1" t="str">
        <f t="shared" si="6"/>
        <v>2</v>
      </c>
      <c r="J508" s="1" t="str">
        <f t="shared" si="7"/>
        <v>Rejected All</v>
      </c>
      <c r="L508" s="1" t="str">
        <f>"47319"</f>
        <v>47319</v>
      </c>
      <c r="M508" s="1" t="str">
        <f>"41"</f>
        <v>41</v>
      </c>
      <c r="N508" s="1" t="str">
        <f>"containing pictorially explicit sexual activity"</f>
        <v>containing pictorially explicit sexual activity</v>
      </c>
    </row>
    <row r="509" ht="14.25" customHeight="1">
      <c r="A509" s="1" t="str">
        <f>"Luxury Beauties "</f>
        <v>Luxury Beauties </v>
      </c>
      <c r="B509" s="1" t="str">
        <f>"10785"</f>
        <v>10785</v>
      </c>
      <c r="C509" s="1" t="str">
        <f>"The Inside Story of Women"</f>
        <v>The Inside Story of Women</v>
      </c>
      <c r="D509" s="1" t="str">
        <f>"King Tislam "</f>
        <v>King Tislam </v>
      </c>
      <c r="E509" s="1" t="str">
        <f t="shared" si="469"/>
        <v>31</v>
      </c>
      <c r="F509" s="1" t="str">
        <f t="shared" si="470"/>
        <v>Book</v>
      </c>
      <c r="G509" s="1" t="str">
        <f>"46854"</f>
        <v>46854</v>
      </c>
      <c r="H509" s="1" t="str">
        <f t="shared" si="471"/>
        <v>2023-02-07</v>
      </c>
      <c r="I509" s="1" t="str">
        <f t="shared" si="6"/>
        <v>2</v>
      </c>
      <c r="J509" s="1" t="str">
        <f t="shared" si="7"/>
        <v>Rejected All</v>
      </c>
      <c r="L509" s="1" t="str">
        <f>"47309"</f>
        <v>47309</v>
      </c>
      <c r="M509" s="1" t="str">
        <f>"46"</f>
        <v>46</v>
      </c>
      <c r="N509" s="1" t="str">
        <f>"containing written sexually explicit material involving the use of force or non-consent"</f>
        <v>containing written sexually explicit material involving the use of force or non-consent</v>
      </c>
    </row>
    <row r="510" ht="14.25" customHeight="1">
      <c r="A510" s="1" t="str">
        <f>"The God Tribe of Shabazz"</f>
        <v>The God Tribe of Shabazz</v>
      </c>
      <c r="B510" s="1" t="str">
        <f>"10788"</f>
        <v>10788</v>
      </c>
      <c r="C510" s="1" t="str">
        <f>"The True History "</f>
        <v>The True History </v>
      </c>
      <c r="D510" s="1" t="str">
        <f>"Elijah Muhammad"</f>
        <v>Elijah Muhammad</v>
      </c>
      <c r="E510" s="1" t="str">
        <f t="shared" si="469"/>
        <v>31</v>
      </c>
      <c r="F510" s="1" t="str">
        <f t="shared" si="470"/>
        <v>Book</v>
      </c>
      <c r="G510" s="1" t="str">
        <f>"46858"</f>
        <v>46858</v>
      </c>
      <c r="H510" s="1" t="str">
        <f t="shared" si="471"/>
        <v>2023-02-07</v>
      </c>
      <c r="I510" s="1" t="str">
        <f t="shared" si="6"/>
        <v>2</v>
      </c>
      <c r="J510" s="1" t="str">
        <f t="shared" si="7"/>
        <v>Rejected All</v>
      </c>
      <c r="L510" s="1" t="str">
        <f>"47313"</f>
        <v>47313</v>
      </c>
      <c r="M510" s="1" t="str">
        <f>"49"</f>
        <v>49</v>
      </c>
      <c r="N510" s="1" t="s">
        <v>0</v>
      </c>
    </row>
    <row r="511" ht="14.25" customHeight="1">
      <c r="A511" s="1" t="str">
        <f>"Dragon Tails #3"</f>
        <v>Dragon Tails #3</v>
      </c>
      <c r="B511" s="1" t="str">
        <f>"10787"</f>
        <v>10787</v>
      </c>
      <c r="C511" s="1" t="str">
        <f>"Vol. 3 Gallery of Girls "</f>
        <v>Vol. 3 Gallery of Girls </v>
      </c>
      <c r="D511" s="1" t="str">
        <f>"SQP. Inc. "</f>
        <v>SQP. Inc. </v>
      </c>
      <c r="E511" s="1" t="str">
        <f t="shared" si="469"/>
        <v>31</v>
      </c>
      <c r="F511" s="1" t="str">
        <f t="shared" si="470"/>
        <v>Book</v>
      </c>
      <c r="G511" s="1" t="str">
        <f>"46856"</f>
        <v>46856</v>
      </c>
      <c r="H511" s="1" t="str">
        <f t="shared" si="471"/>
        <v>2023-02-07</v>
      </c>
      <c r="I511" s="1" t="str">
        <f t="shared" si="6"/>
        <v>2</v>
      </c>
      <c r="J511" s="1" t="str">
        <f t="shared" si="7"/>
        <v>Rejected All</v>
      </c>
      <c r="L511" s="1" t="str">
        <f>"47311"</f>
        <v>47311</v>
      </c>
      <c r="M511" s="1" t="str">
        <f>"42"</f>
        <v>42</v>
      </c>
      <c r="N511" s="1" t="str">
        <f>"containing pictorially explicit nudity"</f>
        <v>containing pictorially explicit nudity</v>
      </c>
    </row>
    <row r="512" ht="14.25" customHeight="1">
      <c r="A512" s="1" t="str">
        <f>"The Fantasy Art of Calandra"</f>
        <v>The Fantasy Art of Calandra</v>
      </c>
      <c r="B512" s="1" t="str">
        <f>"10658"</f>
        <v>10658</v>
      </c>
      <c r="C512" s="1" t="str">
        <f>"Publiaction "</f>
        <v>Publiaction </v>
      </c>
      <c r="D512" s="1" t="str">
        <f>"Michael Calandra"</f>
        <v>Michael Calandra</v>
      </c>
      <c r="E512" s="1" t="str">
        <f t="shared" si="469"/>
        <v>31</v>
      </c>
      <c r="F512" s="1" t="str">
        <f t="shared" si="470"/>
        <v>Book</v>
      </c>
      <c r="G512" s="1" t="str">
        <f>"46874"</f>
        <v>46874</v>
      </c>
      <c r="H512" s="1" t="str">
        <f t="shared" ref="H512:H520" si="474">"2023-02-21"</f>
        <v>2023-02-21</v>
      </c>
      <c r="I512" s="1" t="str">
        <f t="shared" si="6"/>
        <v>2</v>
      </c>
      <c r="J512" s="1" t="str">
        <f t="shared" si="7"/>
        <v>Rejected All</v>
      </c>
      <c r="L512" s="1" t="str">
        <f>"47328"</f>
        <v>47328</v>
      </c>
      <c r="M512" s="1" t="str">
        <f>"41"</f>
        <v>41</v>
      </c>
      <c r="N512" s="1" t="str">
        <f>"containing pictorially explicit sexual activity"</f>
        <v>containing pictorially explicit sexual activity</v>
      </c>
    </row>
    <row r="513" ht="14.25" customHeight="1">
      <c r="A513" s="1" t="str">
        <f>"Sweet Submissions"</f>
        <v>Sweet Submissions</v>
      </c>
      <c r="B513" s="1" t="str">
        <f t="shared" ref="B513:B515" si="475">"10642"</f>
        <v>10642</v>
      </c>
      <c r="C513" s="1" t="str">
        <f t="shared" ref="C513:C515" si="476">"Publication "</f>
        <v>Publication </v>
      </c>
      <c r="D513" s="1" t="str">
        <f>"Publications"</f>
        <v>Publications</v>
      </c>
      <c r="E513" s="1" t="str">
        <f t="shared" si="469"/>
        <v>31</v>
      </c>
      <c r="F513" s="1" t="str">
        <f t="shared" si="470"/>
        <v>Book</v>
      </c>
      <c r="G513" s="1" t="str">
        <f>"46831"</f>
        <v>46831</v>
      </c>
      <c r="H513" s="1" t="str">
        <f t="shared" si="474"/>
        <v>2023-02-21</v>
      </c>
      <c r="I513" s="1" t="str">
        <f t="shared" si="6"/>
        <v>2</v>
      </c>
      <c r="J513" s="1" t="str">
        <f t="shared" si="7"/>
        <v>Rejected All</v>
      </c>
      <c r="L513" s="1" t="str">
        <f>"47285"</f>
        <v>47285</v>
      </c>
      <c r="M513" s="1" t="str">
        <f>"46"</f>
        <v>46</v>
      </c>
      <c r="N513" s="1" t="str">
        <f>"containing written sexually explicit material involving the use of force or non-consent"</f>
        <v>containing written sexually explicit material involving the use of force or non-consent</v>
      </c>
    </row>
    <row r="514" ht="14.25" customHeight="1">
      <c r="A514" s="1" t="str">
        <f>"My Favorite This Is A Monster"</f>
        <v>My Favorite This Is A Monster</v>
      </c>
      <c r="B514" s="1" t="str">
        <f t="shared" si="475"/>
        <v>10642</v>
      </c>
      <c r="C514" s="1" t="str">
        <f t="shared" si="476"/>
        <v>Publication </v>
      </c>
      <c r="D514" s="1" t="str">
        <f>"Emil Ferris "</f>
        <v>Emil Ferris </v>
      </c>
      <c r="E514" s="1" t="str">
        <f t="shared" si="469"/>
        <v>31</v>
      </c>
      <c r="F514" s="1" t="str">
        <f t="shared" si="470"/>
        <v>Book</v>
      </c>
      <c r="G514" s="1" t="str">
        <f>"46845"</f>
        <v>46845</v>
      </c>
      <c r="H514" s="1" t="str">
        <f t="shared" si="474"/>
        <v>2023-02-21</v>
      </c>
      <c r="I514" s="1" t="str">
        <f t="shared" si="6"/>
        <v>2</v>
      </c>
      <c r="J514" s="1" t="str">
        <f t="shared" si="7"/>
        <v>Rejected All</v>
      </c>
      <c r="L514" s="1" t="str">
        <f>"47300"</f>
        <v>47300</v>
      </c>
      <c r="M514" s="1" t="str">
        <f>"42"</f>
        <v>42</v>
      </c>
      <c r="N514" s="1" t="str">
        <f>"containing pictorially explicit nudity"</f>
        <v>containing pictorially explicit nudity</v>
      </c>
    </row>
    <row r="515" ht="14.25" customHeight="1">
      <c r="A515" s="1" t="str">
        <f>"Identity"</f>
        <v>Identity</v>
      </c>
      <c r="B515" s="1" t="str">
        <f t="shared" si="475"/>
        <v>10642</v>
      </c>
      <c r="C515" s="1" t="str">
        <f t="shared" si="476"/>
        <v>Publication </v>
      </c>
      <c r="D515" s="1" t="str">
        <f>"Identity "</f>
        <v>Identity </v>
      </c>
      <c r="E515" s="1" t="str">
        <f t="shared" si="469"/>
        <v>31</v>
      </c>
      <c r="F515" s="1" t="str">
        <f t="shared" si="470"/>
        <v>Book</v>
      </c>
      <c r="G515" s="1" t="str">
        <f>"46896"</f>
        <v>46896</v>
      </c>
      <c r="H515" s="1" t="str">
        <f t="shared" si="474"/>
        <v>2023-02-21</v>
      </c>
      <c r="I515" s="1" t="str">
        <f t="shared" si="6"/>
        <v>2</v>
      </c>
      <c r="J515" s="1" t="str">
        <f t="shared" si="7"/>
        <v>Rejected All</v>
      </c>
      <c r="L515" s="1" t="str">
        <f>"47350"</f>
        <v>47350</v>
      </c>
      <c r="M515" s="1" t="str">
        <f>"37"</f>
        <v>37</v>
      </c>
      <c r="N515" s="1" t="str">
        <f>"not being included in the original store packaging"</f>
        <v>not being included in the original store packaging</v>
      </c>
    </row>
    <row r="516" ht="14.25" customHeight="1">
      <c r="A516" s="1" t="str">
        <f>"It&amp;#39;s Elemental"</f>
        <v>It&amp;#39;s Elemental</v>
      </c>
      <c r="B516" s="1" t="str">
        <f>"10783"</f>
        <v>10783</v>
      </c>
      <c r="C516" s="1" t="str">
        <f>"The Hidden Chemistry In Everything "</f>
        <v>The Hidden Chemistry In Everything </v>
      </c>
      <c r="D516" s="1" t="str">
        <f>"Kate Biberdorf"</f>
        <v>Kate Biberdorf</v>
      </c>
      <c r="E516" s="1" t="str">
        <f t="shared" si="469"/>
        <v>31</v>
      </c>
      <c r="F516" s="1" t="str">
        <f t="shared" si="470"/>
        <v>Book</v>
      </c>
      <c r="G516" s="1" t="str">
        <f>"46848"</f>
        <v>46848</v>
      </c>
      <c r="H516" s="1" t="str">
        <f t="shared" si="474"/>
        <v>2023-02-21</v>
      </c>
      <c r="I516" s="1" t="str">
        <f t="shared" si="6"/>
        <v>2</v>
      </c>
      <c r="J516" s="1" t="str">
        <f t="shared" si="7"/>
        <v>Rejected All</v>
      </c>
      <c r="L516" s="1" t="str">
        <f>"47303"</f>
        <v>47303</v>
      </c>
      <c r="M516" s="1" t="str">
        <f>"39"</f>
        <v>39</v>
      </c>
      <c r="N516" s="1" t="str">
        <f>"being detrimental to security for the following reason:"</f>
        <v>being detrimental to security for the following reason:</v>
      </c>
    </row>
    <row r="517" ht="14.25" customHeight="1">
      <c r="A517" s="1" t="str">
        <f>"Val x Love"</f>
        <v>Val x Love</v>
      </c>
      <c r="B517" s="1" t="str">
        <f>"3732"</f>
        <v>3732</v>
      </c>
      <c r="C517" s="1" t="str">
        <f>"Vol 1"</f>
        <v>Vol 1</v>
      </c>
      <c r="D517" s="1" t="str">
        <f>"Ryosuke Asakura"</f>
        <v>Ryosuke Asakura</v>
      </c>
      <c r="E517" s="1" t="str">
        <f t="shared" si="469"/>
        <v>31</v>
      </c>
      <c r="F517" s="1" t="str">
        <f t="shared" si="470"/>
        <v>Book</v>
      </c>
      <c r="G517" s="1" t="str">
        <f>"46847"</f>
        <v>46847</v>
      </c>
      <c r="H517" s="1" t="str">
        <f t="shared" si="474"/>
        <v>2023-02-21</v>
      </c>
      <c r="I517" s="1" t="str">
        <f t="shared" si="6"/>
        <v>2</v>
      </c>
      <c r="J517" s="1" t="str">
        <f t="shared" si="7"/>
        <v>Rejected All</v>
      </c>
      <c r="L517" s="1" t="str">
        <f>"47302"</f>
        <v>47302</v>
      </c>
      <c r="M517" s="1" t="str">
        <f>"42"</f>
        <v>42</v>
      </c>
      <c r="N517" s="1" t="str">
        <f>"containing pictorially explicit nudity"</f>
        <v>containing pictorially explicit nudity</v>
      </c>
    </row>
    <row r="518" ht="14.25" customHeight="1">
      <c r="A518" s="1" t="str">
        <f>"True Confessions"</f>
        <v>True Confessions</v>
      </c>
      <c r="B518" s="1" t="str">
        <f>"3867"</f>
        <v>3867</v>
      </c>
      <c r="C518" s="1" t="str">
        <f>"Vol 2"</f>
        <v>Vol 2</v>
      </c>
      <c r="D518" s="1" t="str">
        <f>"Syra Bond"</f>
        <v>Syra Bond</v>
      </c>
      <c r="E518" s="1" t="str">
        <f t="shared" si="469"/>
        <v>31</v>
      </c>
      <c r="F518" s="1" t="str">
        <f t="shared" si="470"/>
        <v>Book</v>
      </c>
      <c r="G518" s="1" t="str">
        <f>"46832"</f>
        <v>46832</v>
      </c>
      <c r="H518" s="1" t="str">
        <f t="shared" si="474"/>
        <v>2023-02-21</v>
      </c>
      <c r="I518" s="1" t="str">
        <f t="shared" si="6"/>
        <v>2</v>
      </c>
      <c r="J518" s="1" t="str">
        <f t="shared" si="7"/>
        <v>Rejected All</v>
      </c>
      <c r="L518" s="1" t="str">
        <f>"47286"</f>
        <v>47286</v>
      </c>
      <c r="M518" s="1" t="str">
        <f>"46"</f>
        <v>46</v>
      </c>
      <c r="N518" s="1" t="str">
        <f>"containing written sexually explicit material involving the use of force or non-consent"</f>
        <v>containing written sexually explicit material involving the use of force or non-consent</v>
      </c>
    </row>
    <row r="519" ht="14.25" customHeight="1">
      <c r="A519" s="1" t="str">
        <f>"Los Gatos Negros"</f>
        <v>Los Gatos Negros</v>
      </c>
      <c r="B519" s="1" t="str">
        <f>"4241"</f>
        <v>4241</v>
      </c>
      <c r="C519" s="1" t="str">
        <f>"Vol. 2"</f>
        <v>Vol. 2</v>
      </c>
      <c r="D519" s="1" t="str">
        <f>"Anibal Santana Merced"</f>
        <v>Anibal Santana Merced</v>
      </c>
      <c r="E519" s="1" t="str">
        <f t="shared" si="469"/>
        <v>31</v>
      </c>
      <c r="F519" s="1" t="str">
        <f t="shared" si="470"/>
        <v>Book</v>
      </c>
      <c r="G519" s="1" t="str">
        <f>"46879"</f>
        <v>46879</v>
      </c>
      <c r="H519" s="1" t="str">
        <f t="shared" si="474"/>
        <v>2023-02-21</v>
      </c>
      <c r="I519" s="1" t="str">
        <f t="shared" si="6"/>
        <v>2</v>
      </c>
      <c r="J519" s="1" t="str">
        <f t="shared" si="7"/>
        <v>Rejected All</v>
      </c>
      <c r="L519" s="1" t="str">
        <f>"47333"</f>
        <v>47333</v>
      </c>
      <c r="M519" s="1" t="str">
        <f t="shared" ref="M519:M520" si="477">"45"</f>
        <v>45</v>
      </c>
      <c r="N519" s="1" t="str">
        <f t="shared" ref="N519:N520" si="478">"containing written sexually explicit material involving minors"</f>
        <v>containing written sexually explicit material involving minors</v>
      </c>
    </row>
    <row r="520" ht="14.25" customHeight="1">
      <c r="A520" s="1" t="str">
        <f>"Best Lesbian of the Year"</f>
        <v>Best Lesbian of the Year</v>
      </c>
      <c r="B520" s="1" t="str">
        <f>"4353"</f>
        <v>4353</v>
      </c>
      <c r="C520" s="1" t="str">
        <f>"Vol. 6"</f>
        <v>Vol. 6</v>
      </c>
      <c r="D520" s="1" t="str">
        <f>"Sinclair Sexsmith"</f>
        <v>Sinclair Sexsmith</v>
      </c>
      <c r="E520" s="1" t="str">
        <f t="shared" si="469"/>
        <v>31</v>
      </c>
      <c r="F520" s="1" t="str">
        <f t="shared" si="470"/>
        <v>Book</v>
      </c>
      <c r="G520" s="1" t="str">
        <f>"46876"</f>
        <v>46876</v>
      </c>
      <c r="H520" s="1" t="str">
        <f t="shared" si="474"/>
        <v>2023-02-21</v>
      </c>
      <c r="I520" s="1" t="str">
        <f t="shared" si="6"/>
        <v>2</v>
      </c>
      <c r="J520" s="1" t="str">
        <f t="shared" si="7"/>
        <v>Rejected All</v>
      </c>
      <c r="L520" s="1" t="str">
        <f>"47330"</f>
        <v>47330</v>
      </c>
      <c r="M520" s="1" t="str">
        <f t="shared" si="477"/>
        <v>45</v>
      </c>
      <c r="N520" s="1" t="str">
        <f t="shared" si="478"/>
        <v>containing written sexually explicit material involving minors</v>
      </c>
    </row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2023-03-17T11:36:25Z</dcterms:created>
  <dc:creator>Russell, Julian</dc:creator>
</cp:coreProperties>
</file>